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Strong Lumio LED konfigurátor/Výroba/"/>
    </mc:Choice>
  </mc:AlternateContent>
  <xr:revisionPtr revIDLastSave="188" documentId="8_{FE752417-E426-46D1-B4E6-A1DFE21EF1A1}" xr6:coauthVersionLast="47" xr6:coauthVersionMax="47" xr10:uidLastSave="{61E9C877-783D-4A5E-BF0A-BBC5E9D2990B}"/>
  <workbookProtection workbookAlgorithmName="SHA-512" workbookHashValue="s74a0Fjm51yFJcuQlRnTMGT1rU5ZeLLJEP50NCH2UcsM2VpVfZVpd43B94fNGg/xV0HNOfL+AAMxBgfDyfYcTg==" workbookSaltValue="8GXiULy7pOrQVqQA4aeYgQ==" workbookSpinCount="100000" lockStructure="1"/>
  <bookViews>
    <workbookView showSheetTabs="0" xWindow="-120" yWindow="-120" windowWidth="29040" windowHeight="15720" xr2:uid="{9F64E8DD-92DD-443A-9CD0-2118AEF5CBB9}"/>
  </bookViews>
  <sheets>
    <sheet name="Úvod" sheetId="2" r:id="rId1"/>
    <sheet name="Zak" sheetId="4" r:id="rId2"/>
    <sheet name="Interier" sheetId="8" state="hidden" r:id="rId3"/>
    <sheet name="Překlady" sheetId="3" state="hidden" r:id="rId4"/>
    <sheet name="Sestava1" sheetId="1" r:id="rId5"/>
    <sheet name="Ses1_pom" sheetId="14" state="hidden" r:id="rId6"/>
    <sheet name="Sestava2" sheetId="24" r:id="rId7"/>
    <sheet name="Ses2_pom" sheetId="27" state="hidden" r:id="rId8"/>
    <sheet name="Sestava3" sheetId="25" r:id="rId9"/>
    <sheet name="Ses3_pom" sheetId="28" state="hidden" r:id="rId10"/>
    <sheet name="Sestava4" sheetId="26" r:id="rId11"/>
    <sheet name="Ses4_pom" sheetId="29" state="hidden" r:id="rId12"/>
    <sheet name="souhrn" sheetId="13" r:id="rId13"/>
    <sheet name="Ovlad" sheetId="11" r:id="rId14"/>
    <sheet name="Produkty" sheetId="9" state="hidden" r:id="rId15"/>
    <sheet name="data-zál" sheetId="5" state="hidden" r:id="rId16"/>
    <sheet name="1066" sheetId="10" state="hidden" r:id="rId17"/>
    <sheet name="Vkarty" sheetId="17" state="hidden" r:id="rId18"/>
    <sheet name="Poplatky" sheetId="15" state="hidden" r:id="rId19"/>
  </sheets>
  <definedNames>
    <definedName name="_1000_standard">Produkty!$B$69:$B$70</definedName>
    <definedName name="_2000_Begtin">Produkty!$B$72:$B$73</definedName>
    <definedName name="_2000_standard">Produkty!$B$55:$B$57</definedName>
    <definedName name="_3000_Begtin">Produkty!$B$75</definedName>
    <definedName name="_3000_standard">Produkty!$B$59:$B$61</definedName>
    <definedName name="_4050_standard">Produkty!$B$65:$B$67</definedName>
    <definedName name="_Cabi">Produkty!$B$77:$B$78</definedName>
    <definedName name="_xlnm._FilterDatabase" localSheetId="16" hidden="1">'1066'!$A$1:$P$1226</definedName>
    <definedName name="bateriove">Produkty!$B$220:$B$225</definedName>
    <definedName name="k_zafrézování_bílá">Produkty!$B$19:$B$22</definedName>
    <definedName name="k_zafrézování_černá">Produkty!$B$24:$B$28</definedName>
    <definedName name="k_zafrézování_hliník">Produkty!$B$30:$B$35</definedName>
    <definedName name="k_zafrézování_stříbrná">Produkty!$B$30:$B$35</definedName>
    <definedName name="kineticke">Produkty!$B$191:$B$205</definedName>
    <definedName name="kinetické">Produkty!$L$247</definedName>
    <definedName name="povrchová_bílá">Produkty!$B$3:$B$5</definedName>
    <definedName name="povrchová_černá">Produkty!$B$7:$B$10</definedName>
    <definedName name="povrchová_hliník">Produkty!$B$12:$B$17</definedName>
    <definedName name="povrchová_stříbrná">Produkty!$B$12:$B$17</definedName>
    <definedName name="profil" localSheetId="6">Sestava2!$AM$107:$AM$116</definedName>
    <definedName name="profil" localSheetId="8">Sestava3!$AM$107:$AM$116</definedName>
    <definedName name="profil" localSheetId="10">Sestava4!$AM$107:$AM$116</definedName>
    <definedName name="profil">Sestava1!$AM$107:$AM$116</definedName>
    <definedName name="RJ_bat">Produkty!$B$228:$B$229</definedName>
    <definedName name="RJ_kineticke">Produkty!$B$214:$B$216</definedName>
    <definedName name="roh_bílá">Produkty!$B$37:$B$39</definedName>
    <definedName name="roh_černá">Produkty!$B$41:$B$43</definedName>
    <definedName name="roh_hliník">Produkty!$B$46:$B$50</definedName>
    <definedName name="roh_stříbrná">Produkty!$B$46:$B$50</definedName>
    <definedName name="svítivost1">Překlady!$C$76:$C$78</definedName>
    <definedName name="svítivost2">Překlady!$C$77:$C$79</definedName>
    <definedName name="svítivost3">Překlady!$C$76</definedName>
    <definedName name="teplota1">Překlady!$C$72:$C$73</definedName>
    <definedName name="teplota2">Překlady!$C$72:$C$74</definedName>
    <definedName name="teplota3">Překlady!$C$71:$C$74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7" l="1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3" i="17"/>
  <c r="A1226" i="10"/>
  <c r="B1226" i="10"/>
  <c r="D1226" i="10"/>
  <c r="AN104" i="26"/>
  <c r="D108" i="29"/>
  <c r="C108" i="29"/>
  <c r="D106" i="29"/>
  <c r="C106" i="29"/>
  <c r="D105" i="29"/>
  <c r="C105" i="29"/>
  <c r="D103" i="29"/>
  <c r="C103" i="29"/>
  <c r="D102" i="29"/>
  <c r="C102" i="29"/>
  <c r="D101" i="29"/>
  <c r="C101" i="29"/>
  <c r="D100" i="29"/>
  <c r="C100" i="29"/>
  <c r="D96" i="29"/>
  <c r="C96" i="29"/>
  <c r="D95" i="29"/>
  <c r="C95" i="29"/>
  <c r="D94" i="29"/>
  <c r="C94" i="29"/>
  <c r="D76" i="29"/>
  <c r="C76" i="29"/>
  <c r="D75" i="29"/>
  <c r="C75" i="29"/>
  <c r="D74" i="29"/>
  <c r="C74" i="29"/>
  <c r="D73" i="29"/>
  <c r="C73" i="29"/>
  <c r="D72" i="29"/>
  <c r="C72" i="29"/>
  <c r="D71" i="29"/>
  <c r="C71" i="29"/>
  <c r="D70" i="29"/>
  <c r="C70" i="29"/>
  <c r="D69" i="29"/>
  <c r="C69" i="29"/>
  <c r="D68" i="29"/>
  <c r="C68" i="29"/>
  <c r="D67" i="29"/>
  <c r="C67" i="29"/>
  <c r="D64" i="29"/>
  <c r="C64" i="29"/>
  <c r="D63" i="29"/>
  <c r="C63" i="29"/>
  <c r="D62" i="29"/>
  <c r="C62" i="29"/>
  <c r="D61" i="29"/>
  <c r="C61" i="29"/>
  <c r="D60" i="29"/>
  <c r="C60" i="29"/>
  <c r="D59" i="29"/>
  <c r="C59" i="29"/>
  <c r="D58" i="29"/>
  <c r="C58" i="29"/>
  <c r="AN104" i="25"/>
  <c r="D108" i="28"/>
  <c r="C108" i="28"/>
  <c r="D106" i="28"/>
  <c r="C106" i="28"/>
  <c r="D105" i="28"/>
  <c r="C105" i="28"/>
  <c r="D103" i="28"/>
  <c r="C103" i="28"/>
  <c r="D102" i="28"/>
  <c r="C102" i="28"/>
  <c r="D101" i="28"/>
  <c r="C101" i="28"/>
  <c r="D100" i="28"/>
  <c r="C100" i="28"/>
  <c r="D96" i="28"/>
  <c r="C96" i="28"/>
  <c r="D95" i="28"/>
  <c r="C95" i="28"/>
  <c r="D94" i="28"/>
  <c r="C94" i="28"/>
  <c r="D76" i="28"/>
  <c r="C76" i="28"/>
  <c r="D75" i="28"/>
  <c r="C75" i="28"/>
  <c r="D74" i="28"/>
  <c r="C74" i="28"/>
  <c r="D73" i="28"/>
  <c r="C73" i="28"/>
  <c r="D72" i="28"/>
  <c r="C72" i="28"/>
  <c r="D71" i="28"/>
  <c r="C71" i="28"/>
  <c r="D70" i="28"/>
  <c r="C70" i="28"/>
  <c r="D69" i="28"/>
  <c r="C69" i="28"/>
  <c r="D68" i="28"/>
  <c r="C68" i="28"/>
  <c r="D67" i="28"/>
  <c r="C67" i="28"/>
  <c r="D64" i="28"/>
  <c r="C64" i="28"/>
  <c r="D63" i="28"/>
  <c r="C63" i="28"/>
  <c r="D62" i="28"/>
  <c r="C62" i="28"/>
  <c r="D61" i="28"/>
  <c r="C61" i="28"/>
  <c r="D60" i="28"/>
  <c r="C60" i="28"/>
  <c r="D59" i="28"/>
  <c r="C59" i="28"/>
  <c r="D58" i="28"/>
  <c r="C58" i="28"/>
  <c r="O120" i="13"/>
  <c r="O91" i="13"/>
  <c r="O62" i="13"/>
  <c r="O33" i="13"/>
  <c r="AN104" i="24"/>
  <c r="D108" i="27"/>
  <c r="C108" i="27"/>
  <c r="D106" i="27"/>
  <c r="C106" i="27"/>
  <c r="D105" i="27"/>
  <c r="C105" i="27"/>
  <c r="D103" i="27"/>
  <c r="C103" i="27"/>
  <c r="D102" i="27"/>
  <c r="C102" i="27"/>
  <c r="D101" i="27"/>
  <c r="C101" i="27"/>
  <c r="D100" i="27"/>
  <c r="C100" i="27"/>
  <c r="D96" i="27"/>
  <c r="C96" i="27"/>
  <c r="D95" i="27"/>
  <c r="C95" i="27"/>
  <c r="D94" i="27"/>
  <c r="C94" i="27"/>
  <c r="D76" i="27"/>
  <c r="C76" i="27"/>
  <c r="D75" i="27"/>
  <c r="C75" i="27"/>
  <c r="D74" i="27"/>
  <c r="C74" i="27"/>
  <c r="D73" i="27"/>
  <c r="C73" i="27"/>
  <c r="D72" i="27"/>
  <c r="C72" i="27"/>
  <c r="D71" i="27"/>
  <c r="C71" i="27"/>
  <c r="D70" i="27"/>
  <c r="C70" i="27"/>
  <c r="D69" i="27"/>
  <c r="C69" i="27"/>
  <c r="D68" i="27"/>
  <c r="C68" i="27"/>
  <c r="D67" i="27"/>
  <c r="C67" i="27"/>
  <c r="D64" i="27"/>
  <c r="C64" i="27"/>
  <c r="D63" i="27"/>
  <c r="C63" i="27"/>
  <c r="D62" i="27"/>
  <c r="C62" i="27"/>
  <c r="D61" i="27"/>
  <c r="C61" i="27"/>
  <c r="D60" i="27"/>
  <c r="C60" i="27"/>
  <c r="D59" i="27"/>
  <c r="C59" i="27"/>
  <c r="D58" i="27"/>
  <c r="C58" i="27"/>
  <c r="AN104" i="1"/>
  <c r="C101" i="14"/>
  <c r="D101" i="14"/>
  <c r="C102" i="14"/>
  <c r="D102" i="14"/>
  <c r="C103" i="14"/>
  <c r="D103" i="14"/>
  <c r="C105" i="14"/>
  <c r="D105" i="14"/>
  <c r="C106" i="14"/>
  <c r="D106" i="14"/>
  <c r="C108" i="14"/>
  <c r="D108" i="14"/>
  <c r="D100" i="14"/>
  <c r="C100" i="14"/>
  <c r="C95" i="14"/>
  <c r="D95" i="14"/>
  <c r="C96" i="14"/>
  <c r="D96" i="14"/>
  <c r="D94" i="14"/>
  <c r="C94" i="14"/>
  <c r="C68" i="14"/>
  <c r="D68" i="14"/>
  <c r="C69" i="14"/>
  <c r="D69" i="14"/>
  <c r="C70" i="14"/>
  <c r="D70" i="14"/>
  <c r="C71" i="14"/>
  <c r="D71" i="14"/>
  <c r="C72" i="14"/>
  <c r="D72" i="14"/>
  <c r="C73" i="14"/>
  <c r="D73" i="14"/>
  <c r="C74" i="14"/>
  <c r="D74" i="14"/>
  <c r="C75" i="14"/>
  <c r="D75" i="14"/>
  <c r="C76" i="14"/>
  <c r="D76" i="14"/>
  <c r="D67" i="14"/>
  <c r="C67" i="14"/>
  <c r="D59" i="14"/>
  <c r="D60" i="14"/>
  <c r="D61" i="14"/>
  <c r="D62" i="14"/>
  <c r="D63" i="14"/>
  <c r="D64" i="14"/>
  <c r="C59" i="14"/>
  <c r="C60" i="14"/>
  <c r="C61" i="14"/>
  <c r="C62" i="14"/>
  <c r="C63" i="14"/>
  <c r="C64" i="14"/>
  <c r="D58" i="14"/>
  <c r="C58" i="14"/>
  <c r="G29" i="24"/>
  <c r="G29" i="25"/>
  <c r="Q131" i="13"/>
  <c r="R131" i="13" s="1"/>
  <c r="O131" i="13"/>
  <c r="E131" i="13"/>
  <c r="B131" i="13"/>
  <c r="Q130" i="13"/>
  <c r="R130" i="13" s="1"/>
  <c r="E130" i="13"/>
  <c r="B130" i="13"/>
  <c r="O119" i="13"/>
  <c r="O118" i="13"/>
  <c r="O117" i="13"/>
  <c r="O116" i="13"/>
  <c r="O115" i="13"/>
  <c r="Q102" i="13"/>
  <c r="R102" i="13" s="1"/>
  <c r="O102" i="13"/>
  <c r="E102" i="13"/>
  <c r="B102" i="13"/>
  <c r="Q101" i="13"/>
  <c r="R101" i="13" s="1"/>
  <c r="E101" i="13"/>
  <c r="B101" i="13"/>
  <c r="O90" i="13"/>
  <c r="O89" i="13"/>
  <c r="O88" i="13"/>
  <c r="O87" i="13"/>
  <c r="O86" i="13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55" i="28"/>
  <c r="D55" i="28"/>
  <c r="E54" i="28"/>
  <c r="D54" i="28"/>
  <c r="E53" i="28"/>
  <c r="D53" i="28"/>
  <c r="E52" i="28"/>
  <c r="D52" i="28"/>
  <c r="E51" i="28"/>
  <c r="D51" i="28"/>
  <c r="E50" i="28"/>
  <c r="D50" i="28"/>
  <c r="E49" i="28"/>
  <c r="D49" i="28"/>
  <c r="E48" i="28"/>
  <c r="D48" i="28"/>
  <c r="E47" i="28"/>
  <c r="D47" i="28"/>
  <c r="E46" i="28"/>
  <c r="D46" i="28"/>
  <c r="E43" i="28"/>
  <c r="D43" i="28"/>
  <c r="E42" i="28"/>
  <c r="D42" i="28"/>
  <c r="E41" i="28"/>
  <c r="D41" i="28"/>
  <c r="E40" i="28"/>
  <c r="D40" i="28"/>
  <c r="E39" i="28"/>
  <c r="D39" i="28"/>
  <c r="E38" i="28"/>
  <c r="D38" i="28"/>
  <c r="E37" i="28"/>
  <c r="D37" i="28"/>
  <c r="E55" i="27"/>
  <c r="D55" i="27"/>
  <c r="E54" i="27"/>
  <c r="D54" i="27"/>
  <c r="E53" i="27"/>
  <c r="D53" i="27"/>
  <c r="E52" i="27"/>
  <c r="D52" i="27"/>
  <c r="E51" i="27"/>
  <c r="D51" i="27"/>
  <c r="E50" i="27"/>
  <c r="D50" i="27"/>
  <c r="E49" i="27"/>
  <c r="D49" i="27"/>
  <c r="E48" i="27"/>
  <c r="D48" i="27"/>
  <c r="E47" i="27"/>
  <c r="D47" i="27"/>
  <c r="E46" i="27"/>
  <c r="D46" i="27"/>
  <c r="E43" i="27"/>
  <c r="D43" i="27"/>
  <c r="E42" i="27"/>
  <c r="D42" i="27"/>
  <c r="E41" i="27"/>
  <c r="D41" i="27"/>
  <c r="E40" i="27"/>
  <c r="D40" i="27"/>
  <c r="E39" i="27"/>
  <c r="D39" i="27"/>
  <c r="E38" i="27"/>
  <c r="D38" i="27"/>
  <c r="E37" i="27"/>
  <c r="D37" i="27"/>
  <c r="D38" i="14"/>
  <c r="E38" i="14"/>
  <c r="D39" i="14"/>
  <c r="E39" i="14"/>
  <c r="D40" i="14"/>
  <c r="E40" i="14"/>
  <c r="D41" i="14"/>
  <c r="E41" i="14"/>
  <c r="D42" i="14"/>
  <c r="E42" i="14"/>
  <c r="D43" i="14"/>
  <c r="E43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/>
  <c r="D53" i="14"/>
  <c r="E53" i="14"/>
  <c r="D54" i="14"/>
  <c r="E54" i="14"/>
  <c r="D55" i="14"/>
  <c r="E55" i="14"/>
  <c r="E37" i="14"/>
  <c r="D37" i="14"/>
  <c r="Q73" i="13"/>
  <c r="R73" i="13" s="1"/>
  <c r="O73" i="13"/>
  <c r="E73" i="13"/>
  <c r="B73" i="13"/>
  <c r="Q72" i="13"/>
  <c r="R72" i="13" s="1"/>
  <c r="E72" i="13"/>
  <c r="B72" i="13"/>
  <c r="E44" i="13"/>
  <c r="E43" i="13"/>
  <c r="Q44" i="13"/>
  <c r="Q43" i="13"/>
  <c r="B44" i="13"/>
  <c r="B43" i="13"/>
  <c r="O61" i="13"/>
  <c r="O60" i="13"/>
  <c r="O59" i="13"/>
  <c r="O58" i="13"/>
  <c r="O57" i="13"/>
  <c r="O44" i="13"/>
  <c r="O32" i="13"/>
  <c r="O31" i="13"/>
  <c r="O30" i="13"/>
  <c r="O29" i="13"/>
  <c r="O28" i="13"/>
  <c r="B5" i="29"/>
  <c r="E3" i="29"/>
  <c r="E11" i="29" s="1"/>
  <c r="B5" i="28"/>
  <c r="E3" i="28"/>
  <c r="E7" i="28" s="1"/>
  <c r="B5" i="27"/>
  <c r="E3" i="27"/>
  <c r="E11" i="27" s="1"/>
  <c r="AM130" i="26"/>
  <c r="AQ116" i="26"/>
  <c r="AQ115" i="26"/>
  <c r="AQ114" i="26"/>
  <c r="AQ113" i="26"/>
  <c r="AQ112" i="26"/>
  <c r="AQ111" i="26"/>
  <c r="AQ110" i="26"/>
  <c r="AQ109" i="26"/>
  <c r="AQ108" i="26"/>
  <c r="AQ107" i="26"/>
  <c r="AM100" i="26"/>
  <c r="AM89" i="26"/>
  <c r="AM90" i="26" s="1"/>
  <c r="AM87" i="26"/>
  <c r="AR66" i="26"/>
  <c r="AM66" i="26"/>
  <c r="AL63" i="26"/>
  <c r="BJ61" i="26"/>
  <c r="BK57" i="26"/>
  <c r="BK67" i="26" s="1"/>
  <c r="AM130" i="25"/>
  <c r="K130" i="25" s="1"/>
  <c r="AQ116" i="25"/>
  <c r="C116" i="25"/>
  <c r="AQ115" i="25"/>
  <c r="AQ114" i="25"/>
  <c r="AQ113" i="25"/>
  <c r="AQ112" i="25"/>
  <c r="AQ111" i="25"/>
  <c r="AQ110" i="25"/>
  <c r="AQ109" i="25"/>
  <c r="AQ108" i="25"/>
  <c r="AQ107" i="25"/>
  <c r="AM100" i="25"/>
  <c r="AM89" i="25"/>
  <c r="AM90" i="25" s="1"/>
  <c r="AM87" i="25"/>
  <c r="AR66" i="25"/>
  <c r="AM66" i="25"/>
  <c r="AL63" i="25"/>
  <c r="S57" i="25" s="1"/>
  <c r="BJ61" i="25"/>
  <c r="BK57" i="25"/>
  <c r="BK66" i="25" s="1"/>
  <c r="AM130" i="24"/>
  <c r="AQ116" i="24"/>
  <c r="AQ115" i="24"/>
  <c r="AQ114" i="24"/>
  <c r="AQ113" i="24"/>
  <c r="AQ112" i="24"/>
  <c r="AQ111" i="24"/>
  <c r="AQ110" i="24"/>
  <c r="AQ109" i="24"/>
  <c r="AQ108" i="24"/>
  <c r="AQ107" i="24"/>
  <c r="AM100" i="24"/>
  <c r="AM89" i="24"/>
  <c r="AM90" i="24" s="1"/>
  <c r="AM87" i="24"/>
  <c r="AR66" i="24"/>
  <c r="AM66" i="24"/>
  <c r="AL63" i="24"/>
  <c r="BJ61" i="24"/>
  <c r="BK57" i="24"/>
  <c r="BK67" i="24" s="1"/>
  <c r="T131" i="13" l="1"/>
  <c r="T102" i="13"/>
  <c r="V102" i="13" s="1"/>
  <c r="W102" i="13" s="1"/>
  <c r="C116" i="26"/>
  <c r="AM95" i="25"/>
  <c r="BK67" i="25"/>
  <c r="BK63" i="25"/>
  <c r="BK64" i="25"/>
  <c r="BK65" i="25"/>
  <c r="E8" i="28"/>
  <c r="T73" i="13"/>
  <c r="V73" i="13" s="1"/>
  <c r="W73" i="13" s="1"/>
  <c r="T44" i="13"/>
  <c r="BK66" i="24"/>
  <c r="AM95" i="26"/>
  <c r="BK63" i="26"/>
  <c r="BK64" i="26"/>
  <c r="BK65" i="26"/>
  <c r="BK66" i="26"/>
  <c r="E7" i="29"/>
  <c r="V131" i="13"/>
  <c r="W131" i="13" s="1"/>
  <c r="U131" i="13"/>
  <c r="U102" i="13"/>
  <c r="E10" i="29"/>
  <c r="E9" i="29"/>
  <c r="AM95" i="24"/>
  <c r="BK64" i="24"/>
  <c r="E8" i="29"/>
  <c r="E10" i="28"/>
  <c r="E11" i="28"/>
  <c r="E9" i="28"/>
  <c r="E7" i="27"/>
  <c r="E10" i="27"/>
  <c r="E9" i="27"/>
  <c r="E8" i="27"/>
  <c r="BK65" i="24"/>
  <c r="BK63" i="24"/>
  <c r="D1" i="3"/>
  <c r="Z2" i="13" s="1"/>
  <c r="E3" i="14"/>
  <c r="E11" i="14" s="1"/>
  <c r="AQ107" i="1"/>
  <c r="G247" i="9"/>
  <c r="G246" i="9"/>
  <c r="G245" i="9"/>
  <c r="G244" i="9"/>
  <c r="G243" i="9"/>
  <c r="G239" i="9"/>
  <c r="G238" i="9"/>
  <c r="G237" i="9"/>
  <c r="G236" i="9"/>
  <c r="G235" i="9"/>
  <c r="G234" i="9"/>
  <c r="F247" i="9"/>
  <c r="F246" i="9"/>
  <c r="F245" i="9"/>
  <c r="F244" i="9"/>
  <c r="F243" i="9"/>
  <c r="F239" i="9"/>
  <c r="F238" i="9"/>
  <c r="F237" i="9"/>
  <c r="F236" i="9"/>
  <c r="F235" i="9"/>
  <c r="F234" i="9"/>
  <c r="A192" i="10"/>
  <c r="A193" i="10"/>
  <c r="E234" i="9"/>
  <c r="E235" i="9"/>
  <c r="E236" i="9"/>
  <c r="E237" i="9"/>
  <c r="E238" i="9"/>
  <c r="E239" i="9"/>
  <c r="E243" i="9"/>
  <c r="E244" i="9"/>
  <c r="E245" i="9"/>
  <c r="E246" i="9"/>
  <c r="E247" i="9"/>
  <c r="A2" i="10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8" i="10"/>
  <c r="A849" i="10"/>
  <c r="A850" i="10"/>
  <c r="A851" i="10"/>
  <c r="A852" i="10"/>
  <c r="A853" i="10"/>
  <c r="A854" i="10"/>
  <c r="A855" i="10"/>
  <c r="A856" i="10"/>
  <c r="A857" i="10"/>
  <c r="A858" i="10"/>
  <c r="A859" i="10"/>
  <c r="A860" i="10"/>
  <c r="A861" i="10"/>
  <c r="A862" i="10"/>
  <c r="A863" i="10"/>
  <c r="A864" i="10"/>
  <c r="A865" i="10"/>
  <c r="A866" i="10"/>
  <c r="A867" i="10"/>
  <c r="A868" i="10"/>
  <c r="A869" i="10"/>
  <c r="A870" i="10"/>
  <c r="A871" i="10"/>
  <c r="A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96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1012" i="10"/>
  <c r="A1013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A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112" i="10"/>
  <c r="A1113" i="10"/>
  <c r="A1114" i="10"/>
  <c r="A1115" i="10"/>
  <c r="A1116" i="10"/>
  <c r="A1117" i="10"/>
  <c r="A1118" i="10"/>
  <c r="A1119" i="10"/>
  <c r="A1120" i="10"/>
  <c r="A1121" i="10"/>
  <c r="A1122" i="10"/>
  <c r="A1123" i="10"/>
  <c r="A1124" i="10"/>
  <c r="A1125" i="10"/>
  <c r="A1126" i="10"/>
  <c r="A1127" i="10"/>
  <c r="A1128" i="10"/>
  <c r="A1129" i="10"/>
  <c r="A1130" i="10"/>
  <c r="A1131" i="10"/>
  <c r="A1132" i="10"/>
  <c r="A1133" i="10"/>
  <c r="A1134" i="10"/>
  <c r="A1135" i="10"/>
  <c r="A1136" i="10"/>
  <c r="A1137" i="10"/>
  <c r="A1138" i="10"/>
  <c r="A1139" i="10"/>
  <c r="A1140" i="10"/>
  <c r="A1141" i="10"/>
  <c r="A1142" i="10"/>
  <c r="A1143" i="10"/>
  <c r="A1144" i="10"/>
  <c r="A1145" i="10"/>
  <c r="A1146" i="10"/>
  <c r="A1147" i="10"/>
  <c r="A1148" i="10"/>
  <c r="A1149" i="10"/>
  <c r="A1150" i="10"/>
  <c r="A1151" i="10"/>
  <c r="A1152" i="10"/>
  <c r="A1153" i="10"/>
  <c r="A1154" i="10"/>
  <c r="A1155" i="10"/>
  <c r="A1156" i="10"/>
  <c r="A1157" i="10"/>
  <c r="A1158" i="10"/>
  <c r="A1159" i="10"/>
  <c r="A1160" i="10"/>
  <c r="A1161" i="10"/>
  <c r="A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C14" i="3"/>
  <c r="AM100" i="1"/>
  <c r="C73" i="3"/>
  <c r="L108" i="9" s="1"/>
  <c r="B5" i="14"/>
  <c r="AM130" i="1"/>
  <c r="B1" i="10"/>
  <c r="A1" i="10"/>
  <c r="D1" i="15"/>
  <c r="J6" i="15" s="1"/>
  <c r="F13" i="13"/>
  <c r="F11" i="13"/>
  <c r="F9" i="13"/>
  <c r="F7" i="13"/>
  <c r="C143" i="3"/>
  <c r="AQ108" i="1"/>
  <c r="AQ109" i="1"/>
  <c r="AQ110" i="1"/>
  <c r="AQ111" i="1"/>
  <c r="AQ112" i="1"/>
  <c r="AQ113" i="1"/>
  <c r="AQ114" i="1"/>
  <c r="AQ115" i="1"/>
  <c r="AQ116" i="1"/>
  <c r="D1" i="9"/>
  <c r="B127" i="9" s="1"/>
  <c r="E225" i="9"/>
  <c r="F225" i="9"/>
  <c r="BJ61" i="1"/>
  <c r="BK57" i="1"/>
  <c r="BK66" i="1" s="1"/>
  <c r="M235" i="9"/>
  <c r="M234" i="9"/>
  <c r="C96" i="3"/>
  <c r="C41" i="3"/>
  <c r="B22" i="11"/>
  <c r="H22" i="11"/>
  <c r="N22" i="11"/>
  <c r="T22" i="11"/>
  <c r="R26" i="11"/>
  <c r="R27" i="11"/>
  <c r="R25" i="11"/>
  <c r="R35" i="11"/>
  <c r="R34" i="11"/>
  <c r="R33" i="11"/>
  <c r="T53" i="11"/>
  <c r="N53" i="11"/>
  <c r="H53" i="11"/>
  <c r="H52" i="11"/>
  <c r="B54" i="11"/>
  <c r="B53" i="11"/>
  <c r="B52" i="11"/>
  <c r="B74" i="11"/>
  <c r="B73" i="11"/>
  <c r="N74" i="11"/>
  <c r="N73" i="11"/>
  <c r="T77" i="11"/>
  <c r="T78" i="11"/>
  <c r="T79" i="11"/>
  <c r="T80" i="11"/>
  <c r="T81" i="11"/>
  <c r="T82" i="11"/>
  <c r="T83" i="11"/>
  <c r="T84" i="11"/>
  <c r="T85" i="11"/>
  <c r="T86" i="11"/>
  <c r="T76" i="11"/>
  <c r="B116" i="11"/>
  <c r="E129" i="11"/>
  <c r="N130" i="11"/>
  <c r="H116" i="11"/>
  <c r="N116" i="11"/>
  <c r="T116" i="11"/>
  <c r="AM87" i="1"/>
  <c r="M244" i="9"/>
  <c r="M243" i="9"/>
  <c r="M236" i="9"/>
  <c r="M247" i="9"/>
  <c r="M246" i="9"/>
  <c r="M245" i="9"/>
  <c r="M237" i="9"/>
  <c r="M238" i="9"/>
  <c r="M239" i="9"/>
  <c r="AL63" i="1"/>
  <c r="Q137" i="9"/>
  <c r="Q138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07" i="9"/>
  <c r="AM66" i="1"/>
  <c r="AM89" i="1"/>
  <c r="AM90" i="1" s="1"/>
  <c r="AR66" i="1"/>
  <c r="C56" i="3"/>
  <c r="H49" i="3"/>
  <c r="D49" i="3"/>
  <c r="C10" i="3"/>
  <c r="E30" i="4" s="1"/>
  <c r="C55" i="3"/>
  <c r="C23" i="3"/>
  <c r="C101" i="3"/>
  <c r="C38" i="3" l="1"/>
  <c r="C60" i="3"/>
  <c r="C53" i="3"/>
  <c r="C81" i="3"/>
  <c r="C32" i="3"/>
  <c r="C69" i="3"/>
  <c r="C12" i="3"/>
  <c r="S57" i="24" s="1"/>
  <c r="C102" i="3"/>
  <c r="C139" i="3"/>
  <c r="C21" i="4" s="1"/>
  <c r="C62" i="3"/>
  <c r="C17" i="3"/>
  <c r="C107" i="3"/>
  <c r="C35" i="3"/>
  <c r="C48" i="3"/>
  <c r="C124" i="3"/>
  <c r="B7" i="13" s="1"/>
  <c r="C76" i="3"/>
  <c r="O128" i="9" s="1"/>
  <c r="C64" i="3"/>
  <c r="C46" i="3"/>
  <c r="C117" i="3"/>
  <c r="C137" i="3"/>
  <c r="C131" i="3"/>
  <c r="C87" i="3"/>
  <c r="C49" i="3"/>
  <c r="A28" i="2" s="1"/>
  <c r="C8" i="3"/>
  <c r="L2" i="2" s="1"/>
  <c r="C42" i="3"/>
  <c r="C122" i="3"/>
  <c r="C126" i="3"/>
  <c r="B9" i="13" s="1"/>
  <c r="C71" i="3"/>
  <c r="L117" i="9" s="1"/>
  <c r="C40" i="3"/>
  <c r="C67" i="3"/>
  <c r="C112" i="3"/>
  <c r="C105" i="3"/>
  <c r="C33" i="3"/>
  <c r="C80" i="3"/>
  <c r="C43" i="3"/>
  <c r="C111" i="3"/>
  <c r="C84" i="3"/>
  <c r="C130" i="3"/>
  <c r="C8" i="4" s="1"/>
  <c r="C127" i="3"/>
  <c r="C14" i="4" s="1"/>
  <c r="C74" i="3"/>
  <c r="L125" i="9" s="1"/>
  <c r="C99" i="3"/>
  <c r="G29" i="1" s="1"/>
  <c r="C104" i="3"/>
  <c r="C24" i="3"/>
  <c r="C93" i="3"/>
  <c r="C110" i="3"/>
  <c r="C142" i="3"/>
  <c r="C25" i="4" s="1"/>
  <c r="C18" i="3"/>
  <c r="C52" i="3"/>
  <c r="C115" i="3"/>
  <c r="C141" i="3"/>
  <c r="C19" i="4" s="1"/>
  <c r="C34" i="3"/>
  <c r="C31" i="3"/>
  <c r="C47" i="3"/>
  <c r="C90" i="3"/>
  <c r="C9" i="3"/>
  <c r="B14" i="2" s="1"/>
  <c r="C75" i="3"/>
  <c r="C3" i="3"/>
  <c r="C95" i="3"/>
  <c r="C51" i="3"/>
  <c r="L27" i="9" s="1"/>
  <c r="C113" i="3"/>
  <c r="C134" i="3"/>
  <c r="B30" i="4" s="1"/>
  <c r="C132" i="3"/>
  <c r="R17" i="13" s="1"/>
  <c r="C72" i="3"/>
  <c r="L110" i="9" s="1"/>
  <c r="C13" i="3"/>
  <c r="C19" i="3"/>
  <c r="C26" i="3"/>
  <c r="C94" i="3"/>
  <c r="C138" i="3"/>
  <c r="C28" i="4" s="1"/>
  <c r="C44" i="3"/>
  <c r="C21" i="3"/>
  <c r="C25" i="3"/>
  <c r="C82" i="3"/>
  <c r="C121" i="3"/>
  <c r="C36" i="3"/>
  <c r="C20" i="3"/>
  <c r="C100" i="3"/>
  <c r="C114" i="3"/>
  <c r="C140" i="3"/>
  <c r="C23" i="4" s="1"/>
  <c r="C98" i="3"/>
  <c r="C108" i="3"/>
  <c r="C30" i="3"/>
  <c r="C54" i="3"/>
  <c r="C120" i="3"/>
  <c r="C50" i="3"/>
  <c r="L37" i="9" s="1"/>
  <c r="C97" i="3"/>
  <c r="C63" i="3"/>
  <c r="C22" i="3"/>
  <c r="C65" i="3"/>
  <c r="C45" i="3"/>
  <c r="C7" i="3"/>
  <c r="C116" i="3"/>
  <c r="B17" i="13" s="1"/>
  <c r="C39" i="3"/>
  <c r="C128" i="3"/>
  <c r="C88" i="3"/>
  <c r="C70" i="3"/>
  <c r="C68" i="3"/>
  <c r="C89" i="3"/>
  <c r="C103" i="3"/>
  <c r="C83" i="3"/>
  <c r="C129" i="3"/>
  <c r="F6" i="4" s="1"/>
  <c r="C79" i="3"/>
  <c r="O153" i="9" s="1"/>
  <c r="C66" i="3"/>
  <c r="C61" i="3"/>
  <c r="C118" i="3"/>
  <c r="C136" i="3"/>
  <c r="C11" i="3"/>
  <c r="C86" i="3"/>
  <c r="C37" i="3"/>
  <c r="C91" i="3"/>
  <c r="C123" i="3"/>
  <c r="C135" i="3"/>
  <c r="C118" i="26" s="1"/>
  <c r="C125" i="3"/>
  <c r="C16" i="4" s="1"/>
  <c r="C78" i="3"/>
  <c r="O116" i="9" s="1"/>
  <c r="C85" i="3"/>
  <c r="C28" i="3"/>
  <c r="C29" i="3"/>
  <c r="C27" i="3"/>
  <c r="C59" i="3"/>
  <c r="C58" i="3"/>
  <c r="C106" i="3"/>
  <c r="C57" i="3"/>
  <c r="C92" i="3"/>
  <c r="C109" i="3"/>
  <c r="C119" i="3"/>
  <c r="C144" i="3"/>
  <c r="C133" i="3"/>
  <c r="C77" i="3"/>
  <c r="O111" i="9" s="1"/>
  <c r="C16" i="3"/>
  <c r="C129" i="24"/>
  <c r="B1110" i="10"/>
  <c r="D8" i="10"/>
  <c r="D20" i="10"/>
  <c r="D32" i="10"/>
  <c r="D44" i="10"/>
  <c r="D56" i="10"/>
  <c r="D68" i="10"/>
  <c r="D80" i="10"/>
  <c r="D92" i="10"/>
  <c r="D104" i="10"/>
  <c r="D116" i="10"/>
  <c r="D128" i="10"/>
  <c r="D140" i="10"/>
  <c r="D152" i="10"/>
  <c r="D164" i="10"/>
  <c r="D173" i="9" s="1"/>
  <c r="B173" i="9" s="1"/>
  <c r="D176" i="10"/>
  <c r="D200" i="9" s="1"/>
  <c r="B200" i="9" s="1"/>
  <c r="D188" i="10"/>
  <c r="D221" i="9" s="1"/>
  <c r="B221" i="9" s="1"/>
  <c r="D200" i="10"/>
  <c r="D212" i="10"/>
  <c r="D224" i="10"/>
  <c r="D236" i="10"/>
  <c r="D248" i="10"/>
  <c r="D260" i="10"/>
  <c r="D272" i="10"/>
  <c r="D284" i="10"/>
  <c r="D296" i="10"/>
  <c r="D308" i="10"/>
  <c r="D320" i="10"/>
  <c r="D332" i="10"/>
  <c r="D344" i="10"/>
  <c r="D356" i="10"/>
  <c r="D368" i="10"/>
  <c r="D380" i="10"/>
  <c r="D392" i="10"/>
  <c r="D404" i="10"/>
  <c r="D416" i="10"/>
  <c r="D428" i="10"/>
  <c r="D440" i="10"/>
  <c r="D452" i="10"/>
  <c r="D464" i="10"/>
  <c r="D476" i="10"/>
  <c r="D488" i="10"/>
  <c r="D239" i="9" s="1"/>
  <c r="B239" i="9" s="1"/>
  <c r="D500" i="10"/>
  <c r="D245" i="9" s="1"/>
  <c r="B245" i="9" s="1"/>
  <c r="D512" i="10"/>
  <c r="D524" i="10"/>
  <c r="D536" i="10"/>
  <c r="D548" i="10"/>
  <c r="D560" i="10"/>
  <c r="D572" i="10"/>
  <c r="D584" i="10"/>
  <c r="D596" i="10"/>
  <c r="D608" i="10"/>
  <c r="D620" i="10"/>
  <c r="D632" i="10"/>
  <c r="D644" i="10"/>
  <c r="D656" i="10"/>
  <c r="D668" i="10"/>
  <c r="D680" i="10"/>
  <c r="D692" i="10"/>
  <c r="D13" i="10"/>
  <c r="D25" i="10"/>
  <c r="D37" i="10"/>
  <c r="D49" i="10"/>
  <c r="D61" i="10"/>
  <c r="D73" i="10"/>
  <c r="D85" i="10"/>
  <c r="D97" i="10"/>
  <c r="D109" i="10"/>
  <c r="D121" i="10"/>
  <c r="D133" i="10"/>
  <c r="D145" i="10"/>
  <c r="D157" i="10"/>
  <c r="D169" i="10"/>
  <c r="D7" i="10"/>
  <c r="D22" i="10"/>
  <c r="D36" i="10"/>
  <c r="D51" i="10"/>
  <c r="D65" i="10"/>
  <c r="D79" i="10"/>
  <c r="D94" i="10"/>
  <c r="D108" i="10"/>
  <c r="D123" i="10"/>
  <c r="D137" i="10"/>
  <c r="D151" i="10"/>
  <c r="D166" i="10"/>
  <c r="D180" i="10"/>
  <c r="D204" i="9" s="1"/>
  <c r="B204" i="9" s="1"/>
  <c r="C85" i="11" s="1"/>
  <c r="D193" i="10"/>
  <c r="D206" i="10"/>
  <c r="D219" i="10"/>
  <c r="D232" i="10"/>
  <c r="D245" i="10"/>
  <c r="D258" i="10"/>
  <c r="D271" i="10"/>
  <c r="D285" i="10"/>
  <c r="D298" i="10"/>
  <c r="D311" i="10"/>
  <c r="D324" i="10"/>
  <c r="D337" i="10"/>
  <c r="D350" i="10"/>
  <c r="D363" i="10"/>
  <c r="D376" i="10"/>
  <c r="D389" i="10"/>
  <c r="D402" i="10"/>
  <c r="D415" i="10"/>
  <c r="D429" i="10"/>
  <c r="D442" i="10"/>
  <c r="D455" i="10"/>
  <c r="D468" i="10"/>
  <c r="D481" i="10"/>
  <c r="D494" i="10"/>
  <c r="D237" i="9" s="1"/>
  <c r="B237" i="9" s="1"/>
  <c r="N237" i="9" s="1"/>
  <c r="D507" i="10"/>
  <c r="D520" i="10"/>
  <c r="D533" i="10"/>
  <c r="D171" i="9" s="1"/>
  <c r="B171" i="9" s="1"/>
  <c r="D546" i="10"/>
  <c r="D559" i="10"/>
  <c r="D573" i="10"/>
  <c r="D586" i="10"/>
  <c r="D599" i="10"/>
  <c r="D612" i="10"/>
  <c r="D625" i="10"/>
  <c r="D638" i="10"/>
  <c r="D651" i="10"/>
  <c r="D664" i="10"/>
  <c r="D677" i="10"/>
  <c r="D690" i="10"/>
  <c r="D703" i="10"/>
  <c r="D715" i="10"/>
  <c r="D727" i="10"/>
  <c r="D739" i="10"/>
  <c r="D751" i="10"/>
  <c r="D763" i="10"/>
  <c r="D775" i="10"/>
  <c r="D787" i="10"/>
  <c r="D799" i="10"/>
  <c r="D811" i="10"/>
  <c r="D823" i="10"/>
  <c r="D835" i="10"/>
  <c r="D847" i="10"/>
  <c r="D859" i="10"/>
  <c r="D871" i="10"/>
  <c r="D883" i="10"/>
  <c r="D895" i="10"/>
  <c r="D907" i="10"/>
  <c r="D919" i="10"/>
  <c r="D931" i="10"/>
  <c r="D943" i="10"/>
  <c r="D955" i="10"/>
  <c r="D967" i="10"/>
  <c r="D979" i="10"/>
  <c r="D991" i="10"/>
  <c r="D1003" i="10"/>
  <c r="D1015" i="10"/>
  <c r="D1027" i="10"/>
  <c r="D1039" i="10"/>
  <c r="D1051" i="10"/>
  <c r="D1063" i="10"/>
  <c r="D1075" i="10"/>
  <c r="D5" i="10"/>
  <c r="D21" i="10"/>
  <c r="D38" i="10"/>
  <c r="D53" i="10"/>
  <c r="D69" i="10"/>
  <c r="D84" i="10"/>
  <c r="D100" i="10"/>
  <c r="D115" i="10"/>
  <c r="D131" i="10"/>
  <c r="D147" i="10"/>
  <c r="D162" i="10"/>
  <c r="D160" i="9" s="1"/>
  <c r="B160" i="9" s="1"/>
  <c r="D178" i="10"/>
  <c r="D202" i="9" s="1"/>
  <c r="B202" i="9" s="1"/>
  <c r="D192" i="10"/>
  <c r="D157" i="9" s="1"/>
  <c r="B157" i="9" s="1"/>
  <c r="D207" i="10"/>
  <c r="D221" i="10"/>
  <c r="D235" i="10"/>
  <c r="D250" i="10"/>
  <c r="D264" i="10"/>
  <c r="D278" i="10"/>
  <c r="D292" i="10"/>
  <c r="D306" i="10"/>
  <c r="D321" i="10"/>
  <c r="D335" i="10"/>
  <c r="D349" i="10"/>
  <c r="D364" i="10"/>
  <c r="D378" i="10"/>
  <c r="D159" i="9" s="1"/>
  <c r="B159" i="9" s="1"/>
  <c r="D393" i="10"/>
  <c r="D407" i="10"/>
  <c r="D421" i="10"/>
  <c r="D435" i="10"/>
  <c r="D449" i="10"/>
  <c r="D463" i="10"/>
  <c r="D478" i="10"/>
  <c r="D492" i="10"/>
  <c r="D235" i="9" s="1"/>
  <c r="B235" i="9" s="1"/>
  <c r="D506" i="10"/>
  <c r="D521" i="10"/>
  <c r="D535" i="10"/>
  <c r="D550" i="10"/>
  <c r="D564" i="10"/>
  <c r="D578" i="10"/>
  <c r="D592" i="10"/>
  <c r="D606" i="10"/>
  <c r="D621" i="10"/>
  <c r="D635" i="10"/>
  <c r="D649" i="10"/>
  <c r="D663" i="10"/>
  <c r="D678" i="10"/>
  <c r="D693" i="10"/>
  <c r="D706" i="10"/>
  <c r="D719" i="10"/>
  <c r="D732" i="10"/>
  <c r="D745" i="10"/>
  <c r="D758" i="10"/>
  <c r="D771" i="10"/>
  <c r="D784" i="10"/>
  <c r="D797" i="10"/>
  <c r="D810" i="10"/>
  <c r="D824" i="10"/>
  <c r="D837" i="10"/>
  <c r="D850" i="10"/>
  <c r="D863" i="10"/>
  <c r="D876" i="10"/>
  <c r="D889" i="10"/>
  <c r="D902" i="10"/>
  <c r="D915" i="10"/>
  <c r="D928" i="10"/>
  <c r="D941" i="10"/>
  <c r="D954" i="10"/>
  <c r="D968" i="10"/>
  <c r="D981" i="10"/>
  <c r="D994" i="10"/>
  <c r="D1007" i="10"/>
  <c r="D1020" i="10"/>
  <c r="D1033" i="10"/>
  <c r="D1046" i="10"/>
  <c r="D1059" i="10"/>
  <c r="D1072" i="10"/>
  <c r="D1085" i="10"/>
  <c r="D1097" i="10"/>
  <c r="D1109" i="10"/>
  <c r="D1121" i="10"/>
  <c r="D1133" i="10"/>
  <c r="D1145" i="10"/>
  <c r="D1157" i="10"/>
  <c r="D9" i="10"/>
  <c r="D6" i="10"/>
  <c r="D26" i="10"/>
  <c r="D42" i="10"/>
  <c r="D59" i="10"/>
  <c r="D76" i="10"/>
  <c r="D93" i="10"/>
  <c r="D111" i="10"/>
  <c r="D127" i="10"/>
  <c r="D144" i="10"/>
  <c r="D161" i="10"/>
  <c r="D179" i="10"/>
  <c r="D203" i="9" s="1"/>
  <c r="B203" i="9" s="1"/>
  <c r="D195" i="10"/>
  <c r="D210" i="10"/>
  <c r="D226" i="10"/>
  <c r="D241" i="10"/>
  <c r="D256" i="10"/>
  <c r="D273" i="10"/>
  <c r="D288" i="10"/>
  <c r="D303" i="10"/>
  <c r="D318" i="10"/>
  <c r="D334" i="10"/>
  <c r="D351" i="10"/>
  <c r="D366" i="10"/>
  <c r="D382" i="10"/>
  <c r="D397" i="10"/>
  <c r="D412" i="10"/>
  <c r="D427" i="10"/>
  <c r="D444" i="10"/>
  <c r="D459" i="10"/>
  <c r="D474" i="10"/>
  <c r="D161" i="9" s="1"/>
  <c r="B161" i="9" s="1"/>
  <c r="D490" i="10"/>
  <c r="D238" i="9" s="1"/>
  <c r="B238" i="9" s="1"/>
  <c r="D505" i="10"/>
  <c r="D522" i="10"/>
  <c r="D538" i="10"/>
  <c r="D553" i="10"/>
  <c r="D568" i="10"/>
  <c r="D583" i="10"/>
  <c r="D600" i="10"/>
  <c r="D615" i="10"/>
  <c r="D630" i="10"/>
  <c r="D646" i="10"/>
  <c r="D661" i="10"/>
  <c r="D676" i="10"/>
  <c r="D694" i="10"/>
  <c r="D708" i="10"/>
  <c r="D215" i="9" s="1"/>
  <c r="B215" i="9" s="1"/>
  <c r="D722" i="10"/>
  <c r="D223" i="9" s="1"/>
  <c r="B223" i="9" s="1"/>
  <c r="D736" i="10"/>
  <c r="D750" i="10"/>
  <c r="D765" i="10"/>
  <c r="D779" i="10"/>
  <c r="D793" i="10"/>
  <c r="D807" i="10"/>
  <c r="D821" i="10"/>
  <c r="D836" i="10"/>
  <c r="D851" i="10"/>
  <c r="D865" i="10"/>
  <c r="D879" i="10"/>
  <c r="D893" i="10"/>
  <c r="D908" i="10"/>
  <c r="D922" i="10"/>
  <c r="D936" i="10"/>
  <c r="D950" i="10"/>
  <c r="D964" i="10"/>
  <c r="D978" i="10"/>
  <c r="D993" i="10"/>
  <c r="D1008" i="10"/>
  <c r="D1022" i="10"/>
  <c r="D1036" i="10"/>
  <c r="D1050" i="10"/>
  <c r="D1065" i="10"/>
  <c r="D1079" i="10"/>
  <c r="D1092" i="10"/>
  <c r="D1105" i="10"/>
  <c r="D1118" i="10"/>
  <c r="D1131" i="10"/>
  <c r="D1144" i="10"/>
  <c r="D1158" i="10"/>
  <c r="D1170" i="10"/>
  <c r="D1182" i="10"/>
  <c r="D1194" i="10"/>
  <c r="D1206" i="10"/>
  <c r="D1218" i="10"/>
  <c r="D1159" i="10"/>
  <c r="D10" i="10"/>
  <c r="D27" i="10"/>
  <c r="D43" i="10"/>
  <c r="D60" i="10"/>
  <c r="D77" i="10"/>
  <c r="D95" i="10"/>
  <c r="D112" i="10"/>
  <c r="D129" i="10"/>
  <c r="D146" i="10"/>
  <c r="D163" i="10"/>
  <c r="D174" i="9" s="1"/>
  <c r="B174" i="9" s="1"/>
  <c r="D181" i="10"/>
  <c r="D205" i="9" s="1"/>
  <c r="B205" i="9" s="1"/>
  <c r="C86" i="11" s="1"/>
  <c r="D196" i="10"/>
  <c r="D211" i="10"/>
  <c r="D227" i="10"/>
  <c r="D242" i="10"/>
  <c r="D257" i="10"/>
  <c r="D274" i="10"/>
  <c r="D289" i="10"/>
  <c r="D304" i="10"/>
  <c r="D319" i="10"/>
  <c r="D336" i="10"/>
  <c r="D352" i="10"/>
  <c r="D367" i="10"/>
  <c r="D383" i="10"/>
  <c r="D398" i="10"/>
  <c r="D413" i="10"/>
  <c r="D430" i="10"/>
  <c r="D445" i="10"/>
  <c r="D460" i="10"/>
  <c r="D475" i="10"/>
  <c r="D491" i="10"/>
  <c r="D234" i="9" s="1"/>
  <c r="B234" i="9" s="1"/>
  <c r="D508" i="10"/>
  <c r="D523" i="10"/>
  <c r="D539" i="10"/>
  <c r="D554" i="10"/>
  <c r="D569" i="10"/>
  <c r="D585" i="10"/>
  <c r="D601" i="10"/>
  <c r="D616" i="10"/>
  <c r="D631" i="10"/>
  <c r="D647" i="10"/>
  <c r="D662" i="10"/>
  <c r="D679" i="10"/>
  <c r="D695" i="10"/>
  <c r="D709" i="10"/>
  <c r="D723" i="10"/>
  <c r="D737" i="10"/>
  <c r="D752" i="10"/>
  <c r="D766" i="10"/>
  <c r="D780" i="10"/>
  <c r="D794" i="10"/>
  <c r="D808" i="10"/>
  <c r="D822" i="10"/>
  <c r="D838" i="10"/>
  <c r="D852" i="10"/>
  <c r="D866" i="10"/>
  <c r="D880" i="10"/>
  <c r="D894" i="10"/>
  <c r="D909" i="10"/>
  <c r="D923" i="10"/>
  <c r="D937" i="10"/>
  <c r="D951" i="10"/>
  <c r="D965" i="10"/>
  <c r="D980" i="10"/>
  <c r="D995" i="10"/>
  <c r="D1009" i="10"/>
  <c r="D1023" i="10"/>
  <c r="D1037" i="10"/>
  <c r="D1052" i="10"/>
  <c r="D1066" i="10"/>
  <c r="D1080" i="10"/>
  <c r="D1093" i="10"/>
  <c r="D1106" i="10"/>
  <c r="D1119" i="10"/>
  <c r="D1132" i="10"/>
  <c r="D1146" i="10"/>
  <c r="D1171" i="10"/>
  <c r="D1183" i="10"/>
  <c r="D1195" i="10"/>
  <c r="D1207" i="10"/>
  <c r="D1219" i="10"/>
  <c r="D11" i="10"/>
  <c r="D28" i="10"/>
  <c r="D45" i="10"/>
  <c r="D62" i="10"/>
  <c r="D78" i="10"/>
  <c r="D96" i="10"/>
  <c r="D113" i="10"/>
  <c r="D130" i="10"/>
  <c r="D148" i="10"/>
  <c r="D165" i="10"/>
  <c r="D172" i="9" s="1"/>
  <c r="B172" i="9" s="1"/>
  <c r="D182" i="10"/>
  <c r="D193" i="9" s="1"/>
  <c r="B193" i="9" s="1"/>
  <c r="D197" i="10"/>
  <c r="D213" i="10"/>
  <c r="D228" i="10"/>
  <c r="D243" i="10"/>
  <c r="D259" i="10"/>
  <c r="D275" i="10"/>
  <c r="D290" i="10"/>
  <c r="D305" i="10"/>
  <c r="D322" i="10"/>
  <c r="D338" i="10"/>
  <c r="D353" i="10"/>
  <c r="D369" i="10"/>
  <c r="D384" i="10"/>
  <c r="D399" i="10"/>
  <c r="D414" i="10"/>
  <c r="D431" i="10"/>
  <c r="D446" i="10"/>
  <c r="D461" i="10"/>
  <c r="D477" i="10"/>
  <c r="D493" i="10"/>
  <c r="D509" i="10"/>
  <c r="D525" i="10"/>
  <c r="D540" i="10"/>
  <c r="D555" i="10"/>
  <c r="D570" i="10"/>
  <c r="D587" i="10"/>
  <c r="D602" i="10"/>
  <c r="D617" i="10"/>
  <c r="D633" i="10"/>
  <c r="D648" i="10"/>
  <c r="D665" i="10"/>
  <c r="D681" i="10"/>
  <c r="D696" i="10"/>
  <c r="D710" i="10"/>
  <c r="D724" i="10"/>
  <c r="D738" i="10"/>
  <c r="D753" i="10"/>
  <c r="D767" i="10"/>
  <c r="D781" i="10"/>
  <c r="D795" i="10"/>
  <c r="D809" i="10"/>
  <c r="D825" i="10"/>
  <c r="D839" i="10"/>
  <c r="D853" i="10"/>
  <c r="D867" i="10"/>
  <c r="D881" i="10"/>
  <c r="D896" i="10"/>
  <c r="D910" i="10"/>
  <c r="D924" i="10"/>
  <c r="D938" i="10"/>
  <c r="D952" i="10"/>
  <c r="D966" i="10"/>
  <c r="D982" i="10"/>
  <c r="D996" i="10"/>
  <c r="D1010" i="10"/>
  <c r="D1024" i="10"/>
  <c r="D1038" i="10"/>
  <c r="D1053" i="10"/>
  <c r="D1067" i="10"/>
  <c r="D1081" i="10"/>
  <c r="D1094" i="10"/>
  <c r="D1107" i="10"/>
  <c r="D1120" i="10"/>
  <c r="D1134" i="10"/>
  <c r="D1147" i="10"/>
  <c r="D1160" i="10"/>
  <c r="D1172" i="10"/>
  <c r="D1184" i="10"/>
  <c r="D1196" i="10"/>
  <c r="D1208" i="10"/>
  <c r="D1220" i="10"/>
  <c r="D12" i="10"/>
  <c r="D29" i="10"/>
  <c r="D46" i="10"/>
  <c r="D63" i="10"/>
  <c r="D81" i="10"/>
  <c r="D98" i="10"/>
  <c r="D114" i="10"/>
  <c r="D132" i="10"/>
  <c r="D149" i="10"/>
  <c r="D167" i="10"/>
  <c r="D225" i="9" s="1"/>
  <c r="D183" i="10"/>
  <c r="D194" i="9" s="1"/>
  <c r="B194" i="9" s="1"/>
  <c r="O63" i="11" s="1"/>
  <c r="D198" i="10"/>
  <c r="D214" i="10"/>
  <c r="D229" i="10"/>
  <c r="D244" i="10"/>
  <c r="D261" i="10"/>
  <c r="D276" i="10"/>
  <c r="D291" i="10"/>
  <c r="D307" i="10"/>
  <c r="D323" i="10"/>
  <c r="D339" i="10"/>
  <c r="D354" i="10"/>
  <c r="D370" i="10"/>
  <c r="D385" i="10"/>
  <c r="D400" i="10"/>
  <c r="D417" i="10"/>
  <c r="D432" i="10"/>
  <c r="D447" i="10"/>
  <c r="D462" i="10"/>
  <c r="D479" i="10"/>
  <c r="D495" i="10"/>
  <c r="D247" i="9" s="1"/>
  <c r="B247" i="9" s="1"/>
  <c r="N247" i="9" s="1"/>
  <c r="D510" i="10"/>
  <c r="D526" i="10"/>
  <c r="D541" i="10"/>
  <c r="D556" i="10"/>
  <c r="D571" i="10"/>
  <c r="D588" i="10"/>
  <c r="D603" i="10"/>
  <c r="D618" i="10"/>
  <c r="D634" i="10"/>
  <c r="D650" i="10"/>
  <c r="D666" i="10"/>
  <c r="D682" i="10"/>
  <c r="D697" i="10"/>
  <c r="D711" i="10"/>
  <c r="D725" i="10"/>
  <c r="D740" i="10"/>
  <c r="D754" i="10"/>
  <c r="D216" i="9" s="1"/>
  <c r="B216" i="9" s="1"/>
  <c r="D768" i="10"/>
  <c r="D782" i="10"/>
  <c r="D796" i="10"/>
  <c r="D812" i="10"/>
  <c r="D826" i="10"/>
  <c r="D840" i="10"/>
  <c r="D854" i="10"/>
  <c r="D868" i="10"/>
  <c r="D882" i="10"/>
  <c r="D897" i="10"/>
  <c r="D911" i="10"/>
  <c r="D925" i="10"/>
  <c r="D939" i="10"/>
  <c r="D953" i="10"/>
  <c r="D969" i="10"/>
  <c r="D983" i="10"/>
  <c r="D997" i="10"/>
  <c r="D1011" i="10"/>
  <c r="D1025" i="10"/>
  <c r="D1040" i="10"/>
  <c r="D1054" i="10"/>
  <c r="D1068" i="10"/>
  <c r="D1082" i="10"/>
  <c r="D1095" i="10"/>
  <c r="D1108" i="10"/>
  <c r="D1122" i="10"/>
  <c r="D1135" i="10"/>
  <c r="D1148" i="10"/>
  <c r="D1161" i="10"/>
  <c r="D1173" i="10"/>
  <c r="D1185" i="10"/>
  <c r="D1197" i="10"/>
  <c r="D1209" i="10"/>
  <c r="D1221" i="10"/>
  <c r="D14" i="10"/>
  <c r="D30" i="10"/>
  <c r="D47" i="10"/>
  <c r="D64" i="10"/>
  <c r="D82" i="10"/>
  <c r="D99" i="10"/>
  <c r="D117" i="10"/>
  <c r="D134" i="10"/>
  <c r="D150" i="10"/>
  <c r="D168" i="10"/>
  <c r="D184" i="10"/>
  <c r="D191" i="9" s="1"/>
  <c r="B191" i="9" s="1"/>
  <c r="D199" i="10"/>
  <c r="D215" i="10"/>
  <c r="D230" i="10"/>
  <c r="D246" i="10"/>
  <c r="D262" i="10"/>
  <c r="D277" i="10"/>
  <c r="D293" i="10"/>
  <c r="D309" i="10"/>
  <c r="D325" i="10"/>
  <c r="D340" i="10"/>
  <c r="D355" i="10"/>
  <c r="D371" i="10"/>
  <c r="D386" i="10"/>
  <c r="D401" i="10"/>
  <c r="D418" i="10"/>
  <c r="D433" i="10"/>
  <c r="D448" i="10"/>
  <c r="D465" i="10"/>
  <c r="D480" i="10"/>
  <c r="D496" i="10"/>
  <c r="D243" i="9" s="1"/>
  <c r="B243" i="9" s="1"/>
  <c r="D511" i="10"/>
  <c r="D527" i="10"/>
  <c r="D175" i="9" s="1"/>
  <c r="B175" i="9" s="1"/>
  <c r="D542" i="10"/>
  <c r="D557" i="10"/>
  <c r="D574" i="10"/>
  <c r="D589" i="10"/>
  <c r="D604" i="10"/>
  <c r="D619" i="10"/>
  <c r="D636" i="10"/>
  <c r="D652" i="10"/>
  <c r="D667" i="10"/>
  <c r="D683" i="10"/>
  <c r="D698" i="10"/>
  <c r="D712" i="10"/>
  <c r="D214" i="9" s="1"/>
  <c r="B214" i="9" s="1"/>
  <c r="D726" i="10"/>
  <c r="D741" i="10"/>
  <c r="D755" i="10"/>
  <c r="D769" i="10"/>
  <c r="D783" i="10"/>
  <c r="D798" i="10"/>
  <c r="D813" i="10"/>
  <c r="D827" i="10"/>
  <c r="D841" i="10"/>
  <c r="D855" i="10"/>
  <c r="D869" i="10"/>
  <c r="D884" i="10"/>
  <c r="D898" i="10"/>
  <c r="D912" i="10"/>
  <c r="D926" i="10"/>
  <c r="D940" i="10"/>
  <c r="D956" i="10"/>
  <c r="D970" i="10"/>
  <c r="D984" i="10"/>
  <c r="D998" i="10"/>
  <c r="D1012" i="10"/>
  <c r="D1026" i="10"/>
  <c r="D1041" i="10"/>
  <c r="D1055" i="10"/>
  <c r="D1069" i="10"/>
  <c r="D1083" i="10"/>
  <c r="D1096" i="10"/>
  <c r="D1110" i="10"/>
  <c r="D1123" i="10"/>
  <c r="D1136" i="10"/>
  <c r="D1149" i="10"/>
  <c r="D1162" i="10"/>
  <c r="D1174" i="10"/>
  <c r="D1186" i="10"/>
  <c r="D1198" i="10"/>
  <c r="D1210" i="10"/>
  <c r="D15" i="10"/>
  <c r="D31" i="10"/>
  <c r="D48" i="10"/>
  <c r="D66" i="10"/>
  <c r="D83" i="10"/>
  <c r="D101" i="10"/>
  <c r="D118" i="10"/>
  <c r="D135" i="10"/>
  <c r="D153" i="10"/>
  <c r="D170" i="10"/>
  <c r="D185" i="10"/>
  <c r="D192" i="9" s="1"/>
  <c r="B192" i="9" s="1"/>
  <c r="C63" i="11" s="1"/>
  <c r="D201" i="10"/>
  <c r="D216" i="10"/>
  <c r="D231" i="10"/>
  <c r="D247" i="10"/>
  <c r="D263" i="10"/>
  <c r="D279" i="10"/>
  <c r="D294" i="10"/>
  <c r="D310" i="10"/>
  <c r="D326" i="10"/>
  <c r="D341" i="10"/>
  <c r="D357" i="10"/>
  <c r="D372" i="10"/>
  <c r="D387" i="10"/>
  <c r="D403" i="10"/>
  <c r="D419" i="10"/>
  <c r="D434" i="10"/>
  <c r="D450" i="10"/>
  <c r="D466" i="10"/>
  <c r="D482" i="10"/>
  <c r="D497" i="10"/>
  <c r="D244" i="9" s="1"/>
  <c r="B244" i="9" s="1"/>
  <c r="D513" i="10"/>
  <c r="D528" i="10"/>
  <c r="D543" i="10"/>
  <c r="D558" i="10"/>
  <c r="D575" i="10"/>
  <c r="D590" i="10"/>
  <c r="D605" i="10"/>
  <c r="D622" i="10"/>
  <c r="D637" i="10"/>
  <c r="D653" i="10"/>
  <c r="D669" i="10"/>
  <c r="D684" i="10"/>
  <c r="D699" i="10"/>
  <c r="D713" i="10"/>
  <c r="D728" i="10"/>
  <c r="D742" i="10"/>
  <c r="D756" i="10"/>
  <c r="D770" i="10"/>
  <c r="D785" i="10"/>
  <c r="D800" i="10"/>
  <c r="D814" i="10"/>
  <c r="D828" i="10"/>
  <c r="D842" i="10"/>
  <c r="D856" i="10"/>
  <c r="D870" i="10"/>
  <c r="D885" i="10"/>
  <c r="D899" i="10"/>
  <c r="D913" i="10"/>
  <c r="D927" i="10"/>
  <c r="D942" i="10"/>
  <c r="D957" i="10"/>
  <c r="D971" i="10"/>
  <c r="D985" i="10"/>
  <c r="D999" i="10"/>
  <c r="D1013" i="10"/>
  <c r="D1028" i="10"/>
  <c r="D1042" i="10"/>
  <c r="D1056" i="10"/>
  <c r="D1070" i="10"/>
  <c r="D1084" i="10"/>
  <c r="D1098" i="10"/>
  <c r="D1111" i="10"/>
  <c r="D1124" i="10"/>
  <c r="D1137" i="10"/>
  <c r="D1150" i="10"/>
  <c r="D1163" i="10"/>
  <c r="D1175" i="10"/>
  <c r="D1187" i="10"/>
  <c r="D1199" i="10"/>
  <c r="D1211" i="10"/>
  <c r="D1223" i="10"/>
  <c r="D16" i="10"/>
  <c r="D33" i="10"/>
  <c r="D50" i="10"/>
  <c r="D67" i="10"/>
  <c r="D86" i="10"/>
  <c r="D102" i="10"/>
  <c r="D119" i="10"/>
  <c r="D136" i="10"/>
  <c r="D154" i="10"/>
  <c r="D171" i="10"/>
  <c r="D195" i="9" s="1"/>
  <c r="B195" i="9" s="1"/>
  <c r="C76" i="11" s="1"/>
  <c r="D186" i="10"/>
  <c r="D202" i="10"/>
  <c r="D217" i="10"/>
  <c r="D233" i="10"/>
  <c r="D249" i="10"/>
  <c r="D265" i="10"/>
  <c r="D280" i="10"/>
  <c r="D295" i="10"/>
  <c r="D312" i="10"/>
  <c r="D327" i="10"/>
  <c r="D342" i="10"/>
  <c r="D358" i="10"/>
  <c r="D373" i="10"/>
  <c r="D388" i="10"/>
  <c r="D405" i="10"/>
  <c r="D420" i="10"/>
  <c r="D436" i="10"/>
  <c r="D451" i="10"/>
  <c r="D467" i="10"/>
  <c r="D483" i="10"/>
  <c r="D498" i="10"/>
  <c r="D514" i="10"/>
  <c r="D529" i="10"/>
  <c r="D544" i="10"/>
  <c r="D561" i="10"/>
  <c r="D576" i="10"/>
  <c r="D591" i="10"/>
  <c r="D607" i="10"/>
  <c r="D623" i="10"/>
  <c r="D639" i="10"/>
  <c r="D654" i="10"/>
  <c r="D670" i="10"/>
  <c r="D685" i="10"/>
  <c r="D700" i="10"/>
  <c r="D714" i="10"/>
  <c r="D729" i="10"/>
  <c r="D743" i="10"/>
  <c r="D757" i="10"/>
  <c r="D772" i="10"/>
  <c r="D786" i="10"/>
  <c r="D801" i="10"/>
  <c r="D815" i="10"/>
  <c r="D829" i="10"/>
  <c r="D843" i="10"/>
  <c r="D857" i="10"/>
  <c r="D872" i="10"/>
  <c r="D886" i="10"/>
  <c r="D900" i="10"/>
  <c r="D914" i="10"/>
  <c r="D929" i="10"/>
  <c r="D944" i="10"/>
  <c r="D958" i="10"/>
  <c r="D972" i="10"/>
  <c r="D986" i="10"/>
  <c r="D1000" i="10"/>
  <c r="D1014" i="10"/>
  <c r="D1029" i="10"/>
  <c r="D1043" i="10"/>
  <c r="D1057" i="10"/>
  <c r="D1071" i="10"/>
  <c r="D1086" i="10"/>
  <c r="D1099" i="10"/>
  <c r="D1112" i="10"/>
  <c r="D1125" i="10"/>
  <c r="D1138" i="10"/>
  <c r="D1151" i="10"/>
  <c r="D1164" i="10"/>
  <c r="D1176" i="10"/>
  <c r="D1188" i="10"/>
  <c r="D1200" i="10"/>
  <c r="D1212" i="10"/>
  <c r="D1224" i="10"/>
  <c r="D17" i="10"/>
  <c r="D34" i="10"/>
  <c r="D52" i="10"/>
  <c r="D3" i="10"/>
  <c r="D23" i="10"/>
  <c r="D40" i="10"/>
  <c r="D57" i="10"/>
  <c r="D74" i="10"/>
  <c r="D90" i="10"/>
  <c r="D107" i="10"/>
  <c r="D125" i="10"/>
  <c r="D142" i="10"/>
  <c r="D159" i="10"/>
  <c r="D175" i="10"/>
  <c r="D199" i="9" s="1"/>
  <c r="B199" i="9" s="1"/>
  <c r="D191" i="10"/>
  <c r="D208" i="10"/>
  <c r="D158" i="9" s="1"/>
  <c r="B158" i="9" s="1"/>
  <c r="D223" i="10"/>
  <c r="D239" i="10"/>
  <c r="D254" i="10"/>
  <c r="D269" i="10"/>
  <c r="D286" i="10"/>
  <c r="D301" i="10"/>
  <c r="D316" i="10"/>
  <c r="D331" i="10"/>
  <c r="D347" i="10"/>
  <c r="D362" i="10"/>
  <c r="D379" i="10"/>
  <c r="D395" i="10"/>
  <c r="D410" i="10"/>
  <c r="D425" i="10"/>
  <c r="D441" i="10"/>
  <c r="D457" i="10"/>
  <c r="D472" i="10"/>
  <c r="D163" i="9" s="1"/>
  <c r="B163" i="9" s="1"/>
  <c r="D487" i="10"/>
  <c r="D503" i="10"/>
  <c r="D518" i="10"/>
  <c r="D534" i="10"/>
  <c r="D222" i="9" s="1"/>
  <c r="B222" i="9" s="1"/>
  <c r="D551" i="10"/>
  <c r="D566" i="10"/>
  <c r="D581" i="10"/>
  <c r="D597" i="10"/>
  <c r="D613" i="10"/>
  <c r="D628" i="10"/>
  <c r="D643" i="10"/>
  <c r="D659" i="10"/>
  <c r="D674" i="10"/>
  <c r="D689" i="10"/>
  <c r="D705" i="10"/>
  <c r="D720" i="10"/>
  <c r="D734" i="10"/>
  <c r="D748" i="10"/>
  <c r="D762" i="10"/>
  <c r="D777" i="10"/>
  <c r="D791" i="10"/>
  <c r="D805" i="10"/>
  <c r="D819" i="10"/>
  <c r="D833" i="10"/>
  <c r="D166" i="9" s="1"/>
  <c r="B166" i="9" s="1"/>
  <c r="D848" i="10"/>
  <c r="D862" i="10"/>
  <c r="D877" i="10"/>
  <c r="D891" i="10"/>
  <c r="D905" i="10"/>
  <c r="D920" i="10"/>
  <c r="D934" i="10"/>
  <c r="D948" i="10"/>
  <c r="D962" i="10"/>
  <c r="D976" i="10"/>
  <c r="D990" i="10"/>
  <c r="D1005" i="10"/>
  <c r="D1019" i="10"/>
  <c r="D1034" i="10"/>
  <c r="D1048" i="10"/>
  <c r="D1062" i="10"/>
  <c r="D1077" i="10"/>
  <c r="D1090" i="10"/>
  <c r="D1103" i="10"/>
  <c r="D1116" i="10"/>
  <c r="D1129" i="10"/>
  <c r="D1142" i="10"/>
  <c r="D1155" i="10"/>
  <c r="D1168" i="10"/>
  <c r="D1180" i="10"/>
  <c r="D1192" i="10"/>
  <c r="D1204" i="10"/>
  <c r="D1216" i="10"/>
  <c r="D4" i="10"/>
  <c r="D24" i="10"/>
  <c r="D41" i="10"/>
  <c r="D58" i="10"/>
  <c r="D75" i="10"/>
  <c r="D91" i="10"/>
  <c r="D110" i="10"/>
  <c r="D126" i="10"/>
  <c r="D143" i="10"/>
  <c r="D160" i="10"/>
  <c r="D177" i="10"/>
  <c r="D201" i="9" s="1"/>
  <c r="B201" i="9" s="1"/>
  <c r="C82" i="11" s="1"/>
  <c r="D194" i="10"/>
  <c r="D209" i="10"/>
  <c r="D225" i="10"/>
  <c r="D240" i="10"/>
  <c r="D255" i="10"/>
  <c r="D270" i="10"/>
  <c r="D287" i="10"/>
  <c r="D302" i="10"/>
  <c r="D317" i="10"/>
  <c r="D333" i="10"/>
  <c r="D348" i="10"/>
  <c r="D365" i="10"/>
  <c r="D381" i="10"/>
  <c r="D396" i="10"/>
  <c r="D411" i="10"/>
  <c r="D426" i="10"/>
  <c r="D443" i="10"/>
  <c r="D458" i="10"/>
  <c r="D473" i="10"/>
  <c r="D162" i="9" s="1"/>
  <c r="B162" i="9" s="1"/>
  <c r="D489" i="10"/>
  <c r="D236" i="9" s="1"/>
  <c r="B236" i="9" s="1"/>
  <c r="N236" i="9" s="1"/>
  <c r="D504" i="10"/>
  <c r="D519" i="10"/>
  <c r="D537" i="10"/>
  <c r="D552" i="10"/>
  <c r="D567" i="10"/>
  <c r="D582" i="10"/>
  <c r="D598" i="10"/>
  <c r="D614" i="10"/>
  <c r="D629" i="10"/>
  <c r="D645" i="10"/>
  <c r="D660" i="10"/>
  <c r="D675" i="10"/>
  <c r="D691" i="10"/>
  <c r="D707" i="10"/>
  <c r="D231" i="9" s="1"/>
  <c r="B231" i="9" s="1"/>
  <c r="D721" i="10"/>
  <c r="D224" i="9" s="1"/>
  <c r="B224" i="9" s="1"/>
  <c r="D735" i="10"/>
  <c r="D749" i="10"/>
  <c r="D764" i="10"/>
  <c r="D778" i="10"/>
  <c r="D792" i="10"/>
  <c r="D806" i="10"/>
  <c r="D820" i="10"/>
  <c r="D834" i="10"/>
  <c r="D168" i="9" s="1"/>
  <c r="B168" i="9" s="1"/>
  <c r="D849" i="10"/>
  <c r="D864" i="10"/>
  <c r="D878" i="10"/>
  <c r="D892" i="10"/>
  <c r="D906" i="10"/>
  <c r="D921" i="10"/>
  <c r="D935" i="10"/>
  <c r="D949" i="10"/>
  <c r="D963" i="10"/>
  <c r="D977" i="10"/>
  <c r="D992" i="10"/>
  <c r="D1006" i="10"/>
  <c r="D1021" i="10"/>
  <c r="D1035" i="10"/>
  <c r="D1049" i="10"/>
  <c r="D1064" i="10"/>
  <c r="D1078" i="10"/>
  <c r="D1091" i="10"/>
  <c r="D1104" i="10"/>
  <c r="D1117" i="10"/>
  <c r="D1130" i="10"/>
  <c r="D1143" i="10"/>
  <c r="D1156" i="10"/>
  <c r="D1169" i="10"/>
  <c r="D1181" i="10"/>
  <c r="D1193" i="10"/>
  <c r="D1205" i="10"/>
  <c r="D1217" i="10"/>
  <c r="D54" i="10"/>
  <c r="D122" i="10"/>
  <c r="D189" i="10"/>
  <c r="D252" i="10"/>
  <c r="D314" i="10"/>
  <c r="D375" i="10"/>
  <c r="D438" i="10"/>
  <c r="D501" i="10"/>
  <c r="D246" i="9" s="1"/>
  <c r="B246" i="9" s="1"/>
  <c r="N246" i="9" s="1"/>
  <c r="D563" i="10"/>
  <c r="D626" i="10"/>
  <c r="D687" i="10"/>
  <c r="D746" i="10"/>
  <c r="D803" i="10"/>
  <c r="D860" i="10"/>
  <c r="D917" i="10"/>
  <c r="D974" i="10"/>
  <c r="D1031" i="10"/>
  <c r="D1088" i="10"/>
  <c r="D1140" i="10"/>
  <c r="D1190" i="10"/>
  <c r="D55" i="10"/>
  <c r="D124" i="10"/>
  <c r="D190" i="10"/>
  <c r="D220" i="9" s="1"/>
  <c r="B220" i="9" s="1"/>
  <c r="D253" i="10"/>
  <c r="D315" i="10"/>
  <c r="D377" i="10"/>
  <c r="D439" i="10"/>
  <c r="D502" i="10"/>
  <c r="D565" i="10"/>
  <c r="D627" i="10"/>
  <c r="D688" i="10"/>
  <c r="D747" i="10"/>
  <c r="D804" i="10"/>
  <c r="D861" i="10"/>
  <c r="D918" i="10"/>
  <c r="D1032" i="10"/>
  <c r="D1089" i="10"/>
  <c r="D1141" i="10"/>
  <c r="D1191" i="10"/>
  <c r="D759" i="10"/>
  <c r="D975" i="10"/>
  <c r="D930" i="10"/>
  <c r="D1202" i="10"/>
  <c r="D70" i="10"/>
  <c r="D138" i="10"/>
  <c r="D203" i="10"/>
  <c r="D266" i="10"/>
  <c r="D328" i="10"/>
  <c r="D390" i="10"/>
  <c r="D453" i="10"/>
  <c r="D515" i="10"/>
  <c r="D577" i="10"/>
  <c r="D640" i="10"/>
  <c r="D701" i="10"/>
  <c r="D816" i="10"/>
  <c r="D873" i="10"/>
  <c r="D987" i="10"/>
  <c r="D1044" i="10"/>
  <c r="D1100" i="10"/>
  <c r="D1152" i="10"/>
  <c r="D1201" i="10"/>
  <c r="D71" i="10"/>
  <c r="D139" i="10"/>
  <c r="D204" i="10"/>
  <c r="D267" i="10"/>
  <c r="D329" i="10"/>
  <c r="D391" i="10"/>
  <c r="D454" i="10"/>
  <c r="D516" i="10"/>
  <c r="D579" i="10"/>
  <c r="D641" i="10"/>
  <c r="D702" i="10"/>
  <c r="D760" i="10"/>
  <c r="D817" i="10"/>
  <c r="D874" i="10"/>
  <c r="D932" i="10"/>
  <c r="D988" i="10"/>
  <c r="D1045" i="10"/>
  <c r="D1101" i="10"/>
  <c r="D1153" i="10"/>
  <c r="D72" i="10"/>
  <c r="D141" i="10"/>
  <c r="D205" i="10"/>
  <c r="D268" i="10"/>
  <c r="D330" i="10"/>
  <c r="D394" i="10"/>
  <c r="D456" i="10"/>
  <c r="D517" i="10"/>
  <c r="D580" i="10"/>
  <c r="D642" i="10"/>
  <c r="D704" i="10"/>
  <c r="D761" i="10"/>
  <c r="D818" i="10"/>
  <c r="D875" i="10"/>
  <c r="D933" i="10"/>
  <c r="D989" i="10"/>
  <c r="D1047" i="10"/>
  <c r="D1102" i="10"/>
  <c r="D1154" i="10"/>
  <c r="D1203" i="10"/>
  <c r="D87" i="10"/>
  <c r="D155" i="10"/>
  <c r="D218" i="10"/>
  <c r="D281" i="10"/>
  <c r="D343" i="10"/>
  <c r="D406" i="10"/>
  <c r="D469" i="10"/>
  <c r="D530" i="10"/>
  <c r="D593" i="10"/>
  <c r="D655" i="10"/>
  <c r="D716" i="10"/>
  <c r="D773" i="10"/>
  <c r="D830" i="10"/>
  <c r="D887" i="10"/>
  <c r="D945" i="10"/>
  <c r="D1001" i="10"/>
  <c r="D1058" i="10"/>
  <c r="D1113" i="10"/>
  <c r="D1165" i="10"/>
  <c r="D1213" i="10"/>
  <c r="D1016" i="10"/>
  <c r="D960" i="10"/>
  <c r="D88" i="10"/>
  <c r="D156" i="10"/>
  <c r="D220" i="10"/>
  <c r="D282" i="10"/>
  <c r="D345" i="10"/>
  <c r="D408" i="10"/>
  <c r="D470" i="10"/>
  <c r="D531" i="10"/>
  <c r="D170" i="9" s="1"/>
  <c r="B170" i="9" s="1"/>
  <c r="D594" i="10"/>
  <c r="D657" i="10"/>
  <c r="D717" i="10"/>
  <c r="D774" i="10"/>
  <c r="D831" i="10"/>
  <c r="D888" i="10"/>
  <c r="D946" i="10"/>
  <c r="D1002" i="10"/>
  <c r="D1060" i="10"/>
  <c r="D1114" i="10"/>
  <c r="D1166" i="10"/>
  <c r="D1214" i="10"/>
  <c r="D1167" i="10"/>
  <c r="D1222" i="10"/>
  <c r="D845" i="10"/>
  <c r="D1178" i="10"/>
  <c r="D89" i="10"/>
  <c r="D158" i="10"/>
  <c r="D222" i="10"/>
  <c r="D283" i="10"/>
  <c r="D346" i="10"/>
  <c r="D409" i="10"/>
  <c r="D471" i="10"/>
  <c r="D532" i="10"/>
  <c r="D169" i="9" s="1"/>
  <c r="B169" i="9" s="1"/>
  <c r="D595" i="10"/>
  <c r="D658" i="10"/>
  <c r="D718" i="10"/>
  <c r="D776" i="10"/>
  <c r="D832" i="10"/>
  <c r="D167" i="9" s="1"/>
  <c r="B167" i="9" s="1"/>
  <c r="D890" i="10"/>
  <c r="D947" i="10"/>
  <c r="D1004" i="10"/>
  <c r="D1061" i="10"/>
  <c r="D1115" i="10"/>
  <c r="D1215" i="10"/>
  <c r="D1126" i="10"/>
  <c r="D789" i="10"/>
  <c r="D1225" i="10"/>
  <c r="D18" i="10"/>
  <c r="D103" i="10"/>
  <c r="D172" i="10"/>
  <c r="D196" i="9" s="1"/>
  <c r="B196" i="9" s="1"/>
  <c r="C77" i="11" s="1"/>
  <c r="D234" i="10"/>
  <c r="D297" i="10"/>
  <c r="D359" i="10"/>
  <c r="D422" i="10"/>
  <c r="D484" i="10"/>
  <c r="D545" i="10"/>
  <c r="D609" i="10"/>
  <c r="D671" i="10"/>
  <c r="D730" i="10"/>
  <c r="D228" i="9" s="1"/>
  <c r="B228" i="9" s="1"/>
  <c r="D788" i="10"/>
  <c r="D844" i="10"/>
  <c r="D901" i="10"/>
  <c r="D959" i="10"/>
  <c r="D1073" i="10"/>
  <c r="D1177" i="10"/>
  <c r="D19" i="10"/>
  <c r="D105" i="10"/>
  <c r="D173" i="10"/>
  <c r="D197" i="9" s="1"/>
  <c r="D237" i="10"/>
  <c r="D299" i="10"/>
  <c r="D360" i="10"/>
  <c r="D423" i="10"/>
  <c r="D485" i="10"/>
  <c r="D547" i="10"/>
  <c r="D610" i="10"/>
  <c r="D672" i="10"/>
  <c r="D731" i="10"/>
  <c r="D229" i="9" s="1"/>
  <c r="B229" i="9" s="1"/>
  <c r="D903" i="10"/>
  <c r="D1017" i="10"/>
  <c r="D1074" i="10"/>
  <c r="D1127" i="10"/>
  <c r="D35" i="10"/>
  <c r="D106" i="10"/>
  <c r="D174" i="10"/>
  <c r="D198" i="9" s="1"/>
  <c r="B198" i="9" s="1"/>
  <c r="C79" i="11" s="1"/>
  <c r="D238" i="10"/>
  <c r="D300" i="10"/>
  <c r="D361" i="10"/>
  <c r="D424" i="10"/>
  <c r="D486" i="10"/>
  <c r="D549" i="10"/>
  <c r="D611" i="10"/>
  <c r="D673" i="10"/>
  <c r="D733" i="10"/>
  <c r="D790" i="10"/>
  <c r="D846" i="10"/>
  <c r="D904" i="10"/>
  <c r="D961" i="10"/>
  <c r="D1018" i="10"/>
  <c r="D1076" i="10"/>
  <c r="D1128" i="10"/>
  <c r="D1179" i="10"/>
  <c r="D39" i="10"/>
  <c r="D120" i="10"/>
  <c r="D187" i="10"/>
  <c r="D251" i="10"/>
  <c r="D313" i="10"/>
  <c r="D374" i="10"/>
  <c r="D437" i="10"/>
  <c r="D499" i="10"/>
  <c r="D562" i="10"/>
  <c r="D624" i="10"/>
  <c r="D686" i="10"/>
  <c r="D744" i="10"/>
  <c r="D802" i="10"/>
  <c r="D858" i="10"/>
  <c r="D916" i="10"/>
  <c r="D973" i="10"/>
  <c r="D1030" i="10"/>
  <c r="D1087" i="10"/>
  <c r="D1139" i="10"/>
  <c r="D1189" i="10"/>
  <c r="D2" i="10"/>
  <c r="AG2" i="14"/>
  <c r="AI23" i="14" s="1" a="1"/>
  <c r="AI23" i="14" s="1"/>
  <c r="AI1" i="14" s="1"/>
  <c r="AG2" i="28"/>
  <c r="AG23" i="28" s="1" a="1"/>
  <c r="AG23" i="28" s="1"/>
  <c r="AG1" i="28" s="1"/>
  <c r="AG2" i="27"/>
  <c r="AG23" i="27" s="1" a="1"/>
  <c r="AG23" i="27" s="1"/>
  <c r="AG1" i="27" s="1"/>
  <c r="AG2" i="29"/>
  <c r="AI23" i="29" s="1" a="1"/>
  <c r="AI23" i="29" s="1"/>
  <c r="AI1" i="29" s="1"/>
  <c r="AY2" i="14"/>
  <c r="AZ23" i="14" s="1" a="1"/>
  <c r="AZ23" i="14" s="1"/>
  <c r="AZ1" i="14" s="1"/>
  <c r="AY2" i="29"/>
  <c r="AY2" i="28"/>
  <c r="AY2" i="27"/>
  <c r="BQ2" i="29"/>
  <c r="BQ2" i="27"/>
  <c r="BQ2" i="28"/>
  <c r="U73" i="13"/>
  <c r="L153" i="9"/>
  <c r="L111" i="9"/>
  <c r="A111" i="9" s="1"/>
  <c r="D84" i="13"/>
  <c r="D113" i="13"/>
  <c r="L112" i="9"/>
  <c r="E113" i="13"/>
  <c r="E84" i="13"/>
  <c r="L151" i="9"/>
  <c r="B84" i="13"/>
  <c r="B113" i="13"/>
  <c r="R105" i="13"/>
  <c r="R47" i="13"/>
  <c r="R134" i="13"/>
  <c r="R76" i="13"/>
  <c r="L131" i="9"/>
  <c r="S57" i="26"/>
  <c r="O63" i="13"/>
  <c r="O121" i="13"/>
  <c r="O92" i="13"/>
  <c r="K130" i="24"/>
  <c r="K130" i="26"/>
  <c r="Q84" i="13"/>
  <c r="Q113" i="13"/>
  <c r="L133" i="9"/>
  <c r="T84" i="13"/>
  <c r="T113" i="13"/>
  <c r="V84" i="13"/>
  <c r="V113" i="13"/>
  <c r="O113" i="13"/>
  <c r="O84" i="13"/>
  <c r="L145" i="9"/>
  <c r="B109" i="13"/>
  <c r="B80" i="13"/>
  <c r="L142" i="9"/>
  <c r="L122" i="9"/>
  <c r="K22" i="9"/>
  <c r="Z11" i="24"/>
  <c r="Z11" i="26"/>
  <c r="Z28" i="24"/>
  <c r="Z28" i="25"/>
  <c r="Z11" i="25"/>
  <c r="Z28" i="26"/>
  <c r="O55" i="13"/>
  <c r="O26" i="13"/>
  <c r="B57" i="1"/>
  <c r="B57" i="26"/>
  <c r="B57" i="24"/>
  <c r="B57" i="25"/>
  <c r="B34" i="1"/>
  <c r="B21" i="24"/>
  <c r="B21" i="25"/>
  <c r="B34" i="26"/>
  <c r="B34" i="25"/>
  <c r="B21" i="26"/>
  <c r="B34" i="24"/>
  <c r="AL116" i="1"/>
  <c r="AL116" i="24"/>
  <c r="AL116" i="26"/>
  <c r="AL116" i="25"/>
  <c r="AL72" i="1"/>
  <c r="AL72" i="25"/>
  <c r="AL72" i="26"/>
  <c r="AL72" i="24"/>
  <c r="K50" i="9"/>
  <c r="Q28" i="24"/>
  <c r="Q28" i="25"/>
  <c r="Q28" i="26"/>
  <c r="B91" i="1"/>
  <c r="B91" i="25"/>
  <c r="B91" i="24"/>
  <c r="B91" i="26"/>
  <c r="E63" i="1"/>
  <c r="E63" i="25"/>
  <c r="E63" i="26"/>
  <c r="E63" i="24"/>
  <c r="B36" i="1"/>
  <c r="B36" i="26"/>
  <c r="B36" i="25"/>
  <c r="B23" i="24"/>
  <c r="B23" i="26"/>
  <c r="B36" i="24"/>
  <c r="B23" i="25"/>
  <c r="AL71" i="1"/>
  <c r="AL71" i="25"/>
  <c r="AL71" i="24"/>
  <c r="AL71" i="26"/>
  <c r="AI23" i="28" a="1"/>
  <c r="AI23" i="28" s="1"/>
  <c r="AI1" i="28" s="1"/>
  <c r="AH23" i="28" a="1"/>
  <c r="AH23" i="28" s="1"/>
  <c r="AH1" i="28" s="1"/>
  <c r="E67" i="1"/>
  <c r="E67" i="24"/>
  <c r="E67" i="26"/>
  <c r="E67" i="25"/>
  <c r="B26" i="13"/>
  <c r="B55" i="13"/>
  <c r="B38" i="1"/>
  <c r="B38" i="25"/>
  <c r="E38" i="24"/>
  <c r="B38" i="24"/>
  <c r="E38" i="26"/>
  <c r="B38" i="26"/>
  <c r="E38" i="25"/>
  <c r="B31" i="1"/>
  <c r="B31" i="24"/>
  <c r="B31" i="26"/>
  <c r="B31" i="25"/>
  <c r="C96" i="1"/>
  <c r="C96" i="26"/>
  <c r="C96" i="24"/>
  <c r="C96" i="25"/>
  <c r="B95" i="1"/>
  <c r="B95" i="25"/>
  <c r="B95" i="24"/>
  <c r="B95" i="26"/>
  <c r="B19" i="1"/>
  <c r="B19" i="26"/>
  <c r="B19" i="25"/>
  <c r="B19" i="24"/>
  <c r="T55" i="13"/>
  <c r="T26" i="13"/>
  <c r="C120" i="1"/>
  <c r="C120" i="26"/>
  <c r="C120" i="25"/>
  <c r="C120" i="24"/>
  <c r="B130" i="1"/>
  <c r="B130" i="26"/>
  <c r="B130" i="25"/>
  <c r="B130" i="24"/>
  <c r="I5" i="14"/>
  <c r="J23" i="14" s="1" a="1"/>
  <c r="J23" i="14" s="1"/>
  <c r="I5" i="28"/>
  <c r="I5" i="27"/>
  <c r="AX111" i="26"/>
  <c r="AX111" i="25"/>
  <c r="I5" i="29"/>
  <c r="AX111" i="24"/>
  <c r="U94" i="1"/>
  <c r="B93" i="25"/>
  <c r="B93" i="24"/>
  <c r="B93" i="26"/>
  <c r="U94" i="26"/>
  <c r="U94" i="25"/>
  <c r="U94" i="24"/>
  <c r="B27" i="1"/>
  <c r="B27" i="26"/>
  <c r="B27" i="25"/>
  <c r="B27" i="24"/>
  <c r="B89" i="1"/>
  <c r="B89" i="26"/>
  <c r="B89" i="25"/>
  <c r="B89" i="24"/>
  <c r="B69" i="1"/>
  <c r="B69" i="26"/>
  <c r="B69" i="25"/>
  <c r="B69" i="24"/>
  <c r="B110" i="1"/>
  <c r="B110" i="26"/>
  <c r="B110" i="25"/>
  <c r="B110" i="24"/>
  <c r="AD107" i="24"/>
  <c r="AD107" i="26"/>
  <c r="AD107" i="25"/>
  <c r="V55" i="13"/>
  <c r="V26" i="13"/>
  <c r="B73" i="1"/>
  <c r="B73" i="26"/>
  <c r="B73" i="25"/>
  <c r="B73" i="24"/>
  <c r="AX109" i="1"/>
  <c r="S5" i="29"/>
  <c r="S5" i="27"/>
  <c r="AX109" i="24"/>
  <c r="W5" i="28"/>
  <c r="W5" i="27"/>
  <c r="AX109" i="26"/>
  <c r="S5" i="28"/>
  <c r="W5" i="29"/>
  <c r="AX109" i="25"/>
  <c r="G4" i="14"/>
  <c r="G7" i="14" s="1"/>
  <c r="M5" i="27"/>
  <c r="P5" i="28"/>
  <c r="P5" i="27"/>
  <c r="AX108" i="26"/>
  <c r="M5" i="28"/>
  <c r="G4" i="28"/>
  <c r="AX108" i="25"/>
  <c r="G4" i="27"/>
  <c r="P5" i="29"/>
  <c r="G4" i="29"/>
  <c r="AX108" i="24"/>
  <c r="M5" i="29"/>
  <c r="B114" i="1"/>
  <c r="B114" i="26"/>
  <c r="B114" i="25"/>
  <c r="B114" i="24"/>
  <c r="E65" i="1"/>
  <c r="E65" i="24"/>
  <c r="E65" i="26"/>
  <c r="E65" i="25"/>
  <c r="B107" i="1"/>
  <c r="B107" i="25"/>
  <c r="B107" i="24"/>
  <c r="B107" i="26"/>
  <c r="Q55" i="13"/>
  <c r="Q26" i="13"/>
  <c r="AL115" i="26"/>
  <c r="AL115" i="25"/>
  <c r="O34" i="13"/>
  <c r="B17" i="1"/>
  <c r="B17" i="26"/>
  <c r="B17" i="25"/>
  <c r="B17" i="24"/>
  <c r="B11" i="1"/>
  <c r="B11" i="24"/>
  <c r="B11" i="25"/>
  <c r="B11" i="26"/>
  <c r="B25" i="1"/>
  <c r="B25" i="24"/>
  <c r="B25" i="25"/>
  <c r="B25" i="26"/>
  <c r="B15" i="1"/>
  <c r="B15" i="24"/>
  <c r="B15" i="26"/>
  <c r="B15" i="25"/>
  <c r="AO19" i="26" a="1"/>
  <c r="AO19" i="26" s="1"/>
  <c r="AO19" i="25" a="1"/>
  <c r="AO19" i="25" s="1"/>
  <c r="AO19" i="24" a="1"/>
  <c r="AO19" i="24" s="1"/>
  <c r="V2" i="11"/>
  <c r="Z2" i="26"/>
  <c r="Z2" i="25"/>
  <c r="Z2" i="24"/>
  <c r="B72" i="1"/>
  <c r="B72" i="26"/>
  <c r="B72" i="25"/>
  <c r="B72" i="24"/>
  <c r="B5" i="26"/>
  <c r="N5" i="25"/>
  <c r="R130" i="26"/>
  <c r="E2" i="26"/>
  <c r="H5" i="25"/>
  <c r="AC130" i="25"/>
  <c r="E2" i="24"/>
  <c r="R130" i="25"/>
  <c r="H5" i="24"/>
  <c r="R130" i="24"/>
  <c r="AC130" i="26"/>
  <c r="E2" i="25"/>
  <c r="B5" i="25"/>
  <c r="W130" i="26"/>
  <c r="S5" i="24"/>
  <c r="W130" i="25"/>
  <c r="N5" i="24"/>
  <c r="AC130" i="24"/>
  <c r="H5" i="26"/>
  <c r="B51" i="13"/>
  <c r="B5" i="24"/>
  <c r="E2" i="1"/>
  <c r="W130" i="24"/>
  <c r="S5" i="25"/>
  <c r="S5" i="26"/>
  <c r="N5" i="26"/>
  <c r="AX110" i="1"/>
  <c r="AT106" i="26"/>
  <c r="AY110" i="25"/>
  <c r="Q110" i="26"/>
  <c r="AX110" i="25"/>
  <c r="AY110" i="24"/>
  <c r="Q110" i="24"/>
  <c r="AT107" i="26"/>
  <c r="AT106" i="25"/>
  <c r="AX110" i="24"/>
  <c r="Q110" i="25"/>
  <c r="AT106" i="24"/>
  <c r="AT107" i="25"/>
  <c r="AY110" i="26"/>
  <c r="AX110" i="26"/>
  <c r="AT107" i="24"/>
  <c r="K16" i="9"/>
  <c r="Q11" i="24"/>
  <c r="AO15" i="25"/>
  <c r="AO15" i="26"/>
  <c r="Q11" i="25"/>
  <c r="Q11" i="26"/>
  <c r="AO15" i="24"/>
  <c r="D55" i="13"/>
  <c r="D26" i="13"/>
  <c r="P5" i="14"/>
  <c r="B98" i="1"/>
  <c r="B85" i="26"/>
  <c r="B98" i="26"/>
  <c r="B85" i="25"/>
  <c r="B85" i="24"/>
  <c r="B98" i="25"/>
  <c r="B98" i="24"/>
  <c r="E55" i="13"/>
  <c r="E26" i="13"/>
  <c r="AL36" i="1"/>
  <c r="BB70" i="26"/>
  <c r="AL36" i="26"/>
  <c r="AR68" i="25"/>
  <c r="BJ63" i="25"/>
  <c r="AR68" i="24"/>
  <c r="B8" i="29"/>
  <c r="B8" i="28"/>
  <c r="B8" i="27"/>
  <c r="BB65" i="26"/>
  <c r="BB65" i="24"/>
  <c r="BJ64" i="24"/>
  <c r="B7" i="28"/>
  <c r="B7" i="27"/>
  <c r="BB70" i="25"/>
  <c r="AL36" i="25"/>
  <c r="BB70" i="24"/>
  <c r="AR67" i="24"/>
  <c r="AR67" i="26"/>
  <c r="BB65" i="25"/>
  <c r="B7" i="29"/>
  <c r="AR69" i="26"/>
  <c r="AR67" i="25"/>
  <c r="BJ64" i="26"/>
  <c r="BJ63" i="24"/>
  <c r="BJ63" i="26"/>
  <c r="AR69" i="25"/>
  <c r="AR69" i="24"/>
  <c r="AR68" i="26"/>
  <c r="BJ64" i="25"/>
  <c r="AL36" i="24"/>
  <c r="B14" i="5"/>
  <c r="AL39" i="24"/>
  <c r="AL39" i="26"/>
  <c r="AL39" i="25"/>
  <c r="B2" i="5"/>
  <c r="AR73" i="25"/>
  <c r="AR73" i="24"/>
  <c r="BB69" i="26"/>
  <c r="BB69" i="25"/>
  <c r="BB69" i="24"/>
  <c r="AR70" i="26"/>
  <c r="BJ70" i="25"/>
  <c r="AL37" i="25"/>
  <c r="AL64" i="25" s="1"/>
  <c r="AW73" i="25" s="1"/>
  <c r="BJ70" i="24"/>
  <c r="AR72" i="26"/>
  <c r="BJ69" i="26"/>
  <c r="AR70" i="25"/>
  <c r="AR70" i="24"/>
  <c r="B14" i="27"/>
  <c r="BB64" i="26"/>
  <c r="AR72" i="25"/>
  <c r="BJ69" i="25"/>
  <c r="AR72" i="24"/>
  <c r="BJ69" i="24"/>
  <c r="BB64" i="24"/>
  <c r="B14" i="29"/>
  <c r="B14" i="28"/>
  <c r="AR73" i="26"/>
  <c r="AL37" i="24"/>
  <c r="AL64" i="24" s="1"/>
  <c r="AW73" i="24" s="1"/>
  <c r="B12" i="29"/>
  <c r="B13" i="28"/>
  <c r="B12" i="27"/>
  <c r="AR71" i="26"/>
  <c r="AL37" i="26"/>
  <c r="AL64" i="26" s="1"/>
  <c r="AW73" i="26" s="1"/>
  <c r="B13" i="27"/>
  <c r="BJ70" i="26"/>
  <c r="AR71" i="25"/>
  <c r="AR71" i="24"/>
  <c r="BJ68" i="26"/>
  <c r="B13" i="29"/>
  <c r="BJ68" i="24"/>
  <c r="BB64" i="25"/>
  <c r="BJ68" i="25"/>
  <c r="B12" i="28"/>
  <c r="L47" i="9"/>
  <c r="L16" i="9"/>
  <c r="L14" i="9"/>
  <c r="L50" i="9"/>
  <c r="L46" i="9"/>
  <c r="L35" i="9"/>
  <c r="L33" i="9"/>
  <c r="L31" i="9"/>
  <c r="L17" i="9"/>
  <c r="L48" i="9"/>
  <c r="L15" i="9"/>
  <c r="L49" i="9"/>
  <c r="L13" i="9"/>
  <c r="L12" i="9"/>
  <c r="L34" i="9"/>
  <c r="L32" i="9"/>
  <c r="L30" i="9"/>
  <c r="N5" i="1"/>
  <c r="BA23" i="14" a="1"/>
  <c r="BA23" i="14" s="1"/>
  <c r="BA1" i="14" s="1"/>
  <c r="C8" i="15"/>
  <c r="C7" i="15"/>
  <c r="L144" i="9"/>
  <c r="AX111" i="1"/>
  <c r="H5" i="1"/>
  <c r="T135" i="11"/>
  <c r="AX108" i="1"/>
  <c r="M5" i="14"/>
  <c r="N23" i="14" s="1" a="1"/>
  <c r="N23" i="14" s="1"/>
  <c r="B5" i="1"/>
  <c r="L134" i="9"/>
  <c r="L123" i="9"/>
  <c r="B20" i="13"/>
  <c r="B135" i="11"/>
  <c r="W130" i="1"/>
  <c r="L124" i="9"/>
  <c r="R130" i="1"/>
  <c r="L148" i="9"/>
  <c r="H5" i="11"/>
  <c r="BK65" i="1"/>
  <c r="BK64" i="1"/>
  <c r="L150" i="9"/>
  <c r="C15" i="3"/>
  <c r="L119" i="9"/>
  <c r="L139" i="9"/>
  <c r="L121" i="9"/>
  <c r="L127" i="9"/>
  <c r="L137" i="9"/>
  <c r="L120" i="9"/>
  <c r="L154" i="9"/>
  <c r="L126" i="9"/>
  <c r="L141" i="9"/>
  <c r="L107" i="9"/>
  <c r="L118" i="9"/>
  <c r="L147" i="9"/>
  <c r="L138" i="9"/>
  <c r="AD107" i="1"/>
  <c r="B966" i="10"/>
  <c r="B797" i="10"/>
  <c r="AM95" i="1"/>
  <c r="K130" i="1"/>
  <c r="E7" i="14"/>
  <c r="E8" i="14"/>
  <c r="BK63" i="1"/>
  <c r="BK67" i="1"/>
  <c r="E9" i="14"/>
  <c r="E10" i="14"/>
  <c r="B21" i="1"/>
  <c r="Q2" i="4"/>
  <c r="R30" i="4"/>
  <c r="B471" i="10"/>
  <c r="B39" i="10"/>
  <c r="O122" i="9"/>
  <c r="B134" i="9"/>
  <c r="B110" i="9"/>
  <c r="C6" i="15"/>
  <c r="O109" i="9"/>
  <c r="J8" i="15"/>
  <c r="J7" i="15"/>
  <c r="V44" i="13" s="1"/>
  <c r="W44" i="13" s="1"/>
  <c r="B9" i="10"/>
  <c r="B20" i="10"/>
  <c r="B32" i="10"/>
  <c r="B42" i="10"/>
  <c r="B54" i="10"/>
  <c r="B66" i="10"/>
  <c r="B78" i="10"/>
  <c r="B90" i="10"/>
  <c r="B102" i="10"/>
  <c r="B114" i="10"/>
  <c r="B126" i="10"/>
  <c r="B138" i="10"/>
  <c r="B150" i="10"/>
  <c r="B162" i="10"/>
  <c r="B174" i="10"/>
  <c r="B186" i="10"/>
  <c r="B198" i="10"/>
  <c r="B210" i="10"/>
  <c r="B222" i="10"/>
  <c r="B234" i="10"/>
  <c r="B246" i="10"/>
  <c r="B258" i="10"/>
  <c r="B270" i="10"/>
  <c r="B282" i="10"/>
  <c r="B294" i="10"/>
  <c r="B306" i="10"/>
  <c r="B318" i="10"/>
  <c r="B330" i="10"/>
  <c r="B342" i="10"/>
  <c r="B354" i="10"/>
  <c r="B366" i="10"/>
  <c r="B378" i="10"/>
  <c r="B390" i="10"/>
  <c r="B402" i="10"/>
  <c r="B414" i="10"/>
  <c r="B426" i="10"/>
  <c r="B438" i="10"/>
  <c r="B450" i="10"/>
  <c r="B462" i="10"/>
  <c r="B474" i="10"/>
  <c r="B486" i="10"/>
  <c r="B498" i="10"/>
  <c r="B510" i="10"/>
  <c r="B522" i="10"/>
  <c r="B534" i="10"/>
  <c r="B546" i="10"/>
  <c r="B558" i="10"/>
  <c r="B570" i="10"/>
  <c r="B582" i="10"/>
  <c r="B594" i="10"/>
  <c r="B606" i="10"/>
  <c r="B618" i="10"/>
  <c r="B630" i="10"/>
  <c r="B642" i="10"/>
  <c r="B654" i="10"/>
  <c r="B666" i="10"/>
  <c r="B678" i="10"/>
  <c r="B690" i="10"/>
  <c r="B702" i="10"/>
  <c r="B714" i="10"/>
  <c r="B726" i="10"/>
  <c r="B738" i="10"/>
  <c r="B750" i="10"/>
  <c r="B762" i="10"/>
  <c r="B774" i="10"/>
  <c r="B786" i="10"/>
  <c r="B798" i="10"/>
  <c r="B810" i="10"/>
  <c r="B822" i="10"/>
  <c r="B834" i="10"/>
  <c r="B846" i="10"/>
  <c r="B10" i="10"/>
  <c r="B21" i="10"/>
  <c r="B33" i="10"/>
  <c r="B43" i="10"/>
  <c r="B55" i="10"/>
  <c r="B67" i="10"/>
  <c r="B79" i="10"/>
  <c r="B91" i="10"/>
  <c r="B103" i="10"/>
  <c r="B115" i="10"/>
  <c r="B127" i="10"/>
  <c r="B139" i="10"/>
  <c r="B151" i="10"/>
  <c r="B163" i="10"/>
  <c r="B175" i="10"/>
  <c r="B187" i="10"/>
  <c r="B199" i="10"/>
  <c r="B211" i="10"/>
  <c r="B223" i="10"/>
  <c r="B235" i="10"/>
  <c r="B247" i="10"/>
  <c r="B259" i="10"/>
  <c r="B271" i="10"/>
  <c r="B283" i="10"/>
  <c r="B295" i="10"/>
  <c r="B307" i="10"/>
  <c r="B319" i="10"/>
  <c r="B331" i="10"/>
  <c r="B343" i="10"/>
  <c r="B355" i="10"/>
  <c r="B367" i="10"/>
  <c r="B379" i="10"/>
  <c r="B391" i="10"/>
  <c r="B403" i="10"/>
  <c r="B415" i="10"/>
  <c r="B427" i="10"/>
  <c r="B439" i="10"/>
  <c r="B451" i="10"/>
  <c r="B463" i="10"/>
  <c r="B475" i="10"/>
  <c r="B487" i="10"/>
  <c r="B499" i="10"/>
  <c r="B511" i="10"/>
  <c r="B523" i="10"/>
  <c r="B535" i="10"/>
  <c r="B547" i="10"/>
  <c r="B559" i="10"/>
  <c r="B571" i="10"/>
  <c r="B583" i="10"/>
  <c r="B595" i="10"/>
  <c r="B607" i="10"/>
  <c r="B619" i="10"/>
  <c r="B631" i="10"/>
  <c r="B643" i="10"/>
  <c r="B655" i="10"/>
  <c r="B667" i="10"/>
  <c r="B679" i="10"/>
  <c r="B691" i="10"/>
  <c r="B703" i="10"/>
  <c r="B715" i="10"/>
  <c r="B727" i="10"/>
  <c r="B739" i="10"/>
  <c r="B751" i="10"/>
  <c r="B763" i="10"/>
  <c r="B775" i="10"/>
  <c r="B787" i="10"/>
  <c r="B799" i="10"/>
  <c r="B811" i="10"/>
  <c r="B823" i="10"/>
  <c r="B835" i="10"/>
  <c r="B847" i="10"/>
  <c r="B11" i="10"/>
  <c r="B22" i="10"/>
  <c r="B34" i="10"/>
  <c r="B44" i="10"/>
  <c r="B56" i="10"/>
  <c r="B68" i="10"/>
  <c r="B80" i="10"/>
  <c r="B92" i="10"/>
  <c r="B104" i="10"/>
  <c r="B116" i="10"/>
  <c r="B128" i="10"/>
  <c r="B140" i="10"/>
  <c r="B152" i="10"/>
  <c r="B164" i="10"/>
  <c r="B176" i="10"/>
  <c r="B188" i="10"/>
  <c r="B200" i="10"/>
  <c r="B212" i="10"/>
  <c r="B224" i="10"/>
  <c r="B236" i="10"/>
  <c r="B248" i="10"/>
  <c r="B260" i="10"/>
  <c r="B272" i="10"/>
  <c r="B284" i="10"/>
  <c r="B296" i="10"/>
  <c r="B308" i="10"/>
  <c r="B320" i="10"/>
  <c r="B332" i="10"/>
  <c r="B344" i="10"/>
  <c r="B356" i="10"/>
  <c r="B368" i="10"/>
  <c r="B380" i="10"/>
  <c r="B392" i="10"/>
  <c r="B404" i="10"/>
  <c r="B416" i="10"/>
  <c r="B428" i="10"/>
  <c r="B440" i="10"/>
  <c r="B452" i="10"/>
  <c r="B464" i="10"/>
  <c r="B476" i="10"/>
  <c r="B488" i="10"/>
  <c r="B500" i="10"/>
  <c r="B512" i="10"/>
  <c r="B524" i="10"/>
  <c r="B536" i="10"/>
  <c r="B548" i="10"/>
  <c r="B560" i="10"/>
  <c r="B572" i="10"/>
  <c r="B584" i="10"/>
  <c r="B23" i="10"/>
  <c r="B35" i="10"/>
  <c r="B45" i="10"/>
  <c r="B57" i="10"/>
  <c r="B69" i="10"/>
  <c r="B81" i="10"/>
  <c r="B93" i="10"/>
  <c r="B105" i="10"/>
  <c r="B117" i="10"/>
  <c r="B129" i="10"/>
  <c r="B141" i="10"/>
  <c r="B153" i="10"/>
  <c r="B165" i="10"/>
  <c r="B177" i="10"/>
  <c r="B189" i="10"/>
  <c r="B201" i="10"/>
  <c r="B213" i="10"/>
  <c r="B225" i="10"/>
  <c r="B237" i="10"/>
  <c r="B249" i="10"/>
  <c r="B261" i="10"/>
  <c r="B273" i="10"/>
  <c r="B285" i="10"/>
  <c r="B297" i="10"/>
  <c r="B309" i="10"/>
  <c r="B321" i="10"/>
  <c r="B333" i="10"/>
  <c r="B345" i="10"/>
  <c r="B357" i="10"/>
  <c r="B369" i="10"/>
  <c r="B381" i="10"/>
  <c r="B393" i="10"/>
  <c r="B405" i="10"/>
  <c r="B417" i="10"/>
  <c r="B429" i="10"/>
  <c r="B441" i="10"/>
  <c r="B453" i="10"/>
  <c r="B465" i="10"/>
  <c r="B477" i="10"/>
  <c r="B489" i="10"/>
  <c r="B501" i="10"/>
  <c r="B513" i="10"/>
  <c r="B525" i="10"/>
  <c r="B537" i="10"/>
  <c r="B549" i="10"/>
  <c r="B561" i="10"/>
  <c r="B573" i="10"/>
  <c r="B585" i="10"/>
  <c r="B597" i="10"/>
  <c r="B609" i="10"/>
  <c r="B621" i="10"/>
  <c r="B633" i="10"/>
  <c r="B645" i="10"/>
  <c r="B657" i="10"/>
  <c r="B669" i="10"/>
  <c r="B681" i="10"/>
  <c r="B693" i="10"/>
  <c r="B705" i="10"/>
  <c r="B717" i="10"/>
  <c r="B729" i="10"/>
  <c r="B741" i="10"/>
  <c r="B753" i="10"/>
  <c r="B765" i="10"/>
  <c r="B777" i="10"/>
  <c r="B789" i="10"/>
  <c r="B801" i="10"/>
  <c r="B813" i="10"/>
  <c r="B825" i="10"/>
  <c r="B837" i="10"/>
  <c r="B860" i="10"/>
  <c r="B12" i="10"/>
  <c r="B24" i="10"/>
  <c r="B46" i="10"/>
  <c r="B58" i="10"/>
  <c r="B70" i="10"/>
  <c r="B82" i="10"/>
  <c r="B94" i="10"/>
  <c r="B106" i="10"/>
  <c r="B118" i="10"/>
  <c r="B130" i="10"/>
  <c r="B142" i="10"/>
  <c r="B154" i="10"/>
  <c r="B166" i="10"/>
  <c r="B178" i="10"/>
  <c r="B190" i="10"/>
  <c r="B202" i="10"/>
  <c r="B214" i="10"/>
  <c r="B226" i="10"/>
  <c r="B238" i="10"/>
  <c r="B250" i="10"/>
  <c r="B262" i="10"/>
  <c r="B274" i="10"/>
  <c r="B286" i="10"/>
  <c r="B298" i="10"/>
  <c r="B310" i="10"/>
  <c r="B322" i="10"/>
  <c r="B334" i="10"/>
  <c r="B346" i="10"/>
  <c r="B358" i="10"/>
  <c r="B370" i="10"/>
  <c r="B382" i="10"/>
  <c r="B394" i="10"/>
  <c r="B406" i="10"/>
  <c r="B418" i="10"/>
  <c r="B430" i="10"/>
  <c r="B442" i="10"/>
  <c r="B454" i="10"/>
  <c r="B466" i="10"/>
  <c r="B478" i="10"/>
  <c r="B490" i="10"/>
  <c r="B502" i="10"/>
  <c r="B514" i="10"/>
  <c r="B526" i="10"/>
  <c r="B538" i="10"/>
  <c r="B550" i="10"/>
  <c r="B562" i="10"/>
  <c r="B574" i="10"/>
  <c r="B586" i="10"/>
  <c r="B598" i="10"/>
  <c r="B610" i="10"/>
  <c r="B622" i="10"/>
  <c r="B634" i="10"/>
  <c r="B646" i="10"/>
  <c r="B658" i="10"/>
  <c r="B670" i="10"/>
  <c r="B682" i="10"/>
  <c r="B694" i="10"/>
  <c r="B706" i="10"/>
  <c r="B718" i="10"/>
  <c r="B730" i="10"/>
  <c r="B742" i="10"/>
  <c r="B754" i="10"/>
  <c r="B766" i="10"/>
  <c r="B778" i="10"/>
  <c r="B790" i="10"/>
  <c r="B802" i="10"/>
  <c r="B814" i="10"/>
  <c r="B826" i="10"/>
  <c r="B838" i="10"/>
  <c r="B849" i="10"/>
  <c r="B13" i="10"/>
  <c r="B25" i="10"/>
  <c r="B47" i="10"/>
  <c r="B59" i="10"/>
  <c r="B71" i="10"/>
  <c r="B83" i="10"/>
  <c r="B95" i="10"/>
  <c r="B107" i="10"/>
  <c r="B119" i="10"/>
  <c r="B131" i="10"/>
  <c r="B143" i="10"/>
  <c r="B155" i="10"/>
  <c r="B167" i="10"/>
  <c r="B179" i="10"/>
  <c r="B191" i="10"/>
  <c r="B203" i="10"/>
  <c r="B215" i="10"/>
  <c r="B227" i="10"/>
  <c r="B239" i="10"/>
  <c r="B251" i="10"/>
  <c r="B263" i="10"/>
  <c r="B275" i="10"/>
  <c r="B287" i="10"/>
  <c r="B299" i="10"/>
  <c r="B311" i="10"/>
  <c r="B323" i="10"/>
  <c r="B335" i="10"/>
  <c r="B347" i="10"/>
  <c r="B359" i="10"/>
  <c r="B371" i="10"/>
  <c r="B383" i="10"/>
  <c r="B395" i="10"/>
  <c r="B407" i="10"/>
  <c r="B419" i="10"/>
  <c r="B431" i="10"/>
  <c r="B443" i="10"/>
  <c r="B455" i="10"/>
  <c r="B467" i="10"/>
  <c r="B479" i="10"/>
  <c r="B491" i="10"/>
  <c r="B503" i="10"/>
  <c r="B515" i="10"/>
  <c r="B527" i="10"/>
  <c r="B539" i="10"/>
  <c r="B551" i="10"/>
  <c r="B563" i="10"/>
  <c r="B575" i="10"/>
  <c r="B587" i="10"/>
  <c r="B599" i="10"/>
  <c r="B611" i="10"/>
  <c r="B623" i="10"/>
  <c r="B635" i="10"/>
  <c r="B647" i="10"/>
  <c r="B659" i="10"/>
  <c r="B671" i="10"/>
  <c r="B683" i="10"/>
  <c r="B695" i="10"/>
  <c r="B707" i="10"/>
  <c r="B719" i="10"/>
  <c r="B731" i="10"/>
  <c r="B743" i="10"/>
  <c r="B755" i="10"/>
  <c r="B767" i="10"/>
  <c r="B779" i="10"/>
  <c r="B791" i="10"/>
  <c r="B803" i="10"/>
  <c r="B815" i="10"/>
  <c r="B827" i="10"/>
  <c r="B839" i="10"/>
  <c r="B3" i="10"/>
  <c r="B14" i="10"/>
  <c r="B26" i="10"/>
  <c r="B36" i="10"/>
  <c r="B48" i="10"/>
  <c r="B60" i="10"/>
  <c r="B72" i="10"/>
  <c r="B84" i="10"/>
  <c r="B96" i="10"/>
  <c r="B108" i="10"/>
  <c r="B120" i="10"/>
  <c r="B132" i="10"/>
  <c r="B144" i="10"/>
  <c r="B156" i="10"/>
  <c r="B168" i="10"/>
  <c r="B180" i="10"/>
  <c r="B192" i="10"/>
  <c r="B204" i="10"/>
  <c r="B216" i="10"/>
  <c r="B228" i="10"/>
  <c r="B240" i="10"/>
  <c r="B252" i="10"/>
  <c r="B264" i="10"/>
  <c r="B276" i="10"/>
  <c r="B288" i="10"/>
  <c r="B300" i="10"/>
  <c r="B312" i="10"/>
  <c r="B324" i="10"/>
  <c r="B336" i="10"/>
  <c r="B348" i="10"/>
  <c r="B360" i="10"/>
  <c r="B372" i="10"/>
  <c r="B384" i="10"/>
  <c r="B396" i="10"/>
  <c r="B408" i="10"/>
  <c r="B420" i="10"/>
  <c r="B432" i="10"/>
  <c r="B444" i="10"/>
  <c r="B456" i="10"/>
  <c r="B468" i="10"/>
  <c r="B480" i="10"/>
  <c r="B492" i="10"/>
  <c r="B504" i="10"/>
  <c r="B516" i="10"/>
  <c r="B528" i="10"/>
  <c r="B540" i="10"/>
  <c r="B552" i="10"/>
  <c r="B564" i="10"/>
  <c r="B576" i="10"/>
  <c r="B588" i="10"/>
  <c r="B600" i="10"/>
  <c r="B612" i="10"/>
  <c r="B624" i="10"/>
  <c r="B636" i="10"/>
  <c r="B648" i="10"/>
  <c r="B660" i="10"/>
  <c r="B672" i="10"/>
  <c r="B684" i="10"/>
  <c r="B696" i="10"/>
  <c r="B708" i="10"/>
  <c r="B720" i="10"/>
  <c r="B732" i="10"/>
  <c r="B744" i="10"/>
  <c r="B756" i="10"/>
  <c r="B768" i="10"/>
  <c r="B780" i="10"/>
  <c r="B792" i="10"/>
  <c r="B804" i="10"/>
  <c r="B816" i="10"/>
  <c r="B4" i="10"/>
  <c r="B15" i="10"/>
  <c r="B27" i="10"/>
  <c r="B37" i="10"/>
  <c r="B49" i="10"/>
  <c r="B61" i="10"/>
  <c r="B73" i="10"/>
  <c r="B85" i="10"/>
  <c r="B97" i="10"/>
  <c r="B109" i="10"/>
  <c r="B121" i="10"/>
  <c r="B133" i="10"/>
  <c r="B145" i="10"/>
  <c r="B157" i="10"/>
  <c r="B169" i="10"/>
  <c r="B181" i="10"/>
  <c r="B193" i="10"/>
  <c r="B205" i="10"/>
  <c r="B217" i="10"/>
  <c r="B229" i="10"/>
  <c r="B241" i="10"/>
  <c r="B253" i="10"/>
  <c r="B265" i="10"/>
  <c r="B277" i="10"/>
  <c r="B289" i="10"/>
  <c r="B301" i="10"/>
  <c r="B313" i="10"/>
  <c r="B325" i="10"/>
  <c r="B337" i="10"/>
  <c r="B349" i="10"/>
  <c r="B361" i="10"/>
  <c r="B373" i="10"/>
  <c r="B385" i="10"/>
  <c r="B397" i="10"/>
  <c r="B409" i="10"/>
  <c r="B421" i="10"/>
  <c r="B433" i="10"/>
  <c r="B445" i="10"/>
  <c r="B457" i="10"/>
  <c r="B469" i="10"/>
  <c r="B481" i="10"/>
  <c r="B493" i="10"/>
  <c r="B505" i="10"/>
  <c r="B517" i="10"/>
  <c r="B529" i="10"/>
  <c r="B541" i="10"/>
  <c r="B553" i="10"/>
  <c r="B565" i="10"/>
  <c r="B577" i="10"/>
  <c r="B589" i="10"/>
  <c r="B6" i="10"/>
  <c r="B30" i="10"/>
  <c r="B40" i="10"/>
  <c r="B76" i="10"/>
  <c r="B112" i="10"/>
  <c r="B148" i="10"/>
  <c r="B184" i="10"/>
  <c r="B220" i="10"/>
  <c r="B256" i="10"/>
  <c r="B292" i="10"/>
  <c r="B328" i="10"/>
  <c r="B364" i="10"/>
  <c r="B400" i="10"/>
  <c r="B436" i="10"/>
  <c r="B472" i="10"/>
  <c r="B508" i="10"/>
  <c r="B544" i="10"/>
  <c r="B580" i="10"/>
  <c r="B608" i="10"/>
  <c r="B632" i="10"/>
  <c r="B656" i="10"/>
  <c r="B680" i="10"/>
  <c r="B704" i="10"/>
  <c r="B728" i="10"/>
  <c r="B752" i="10"/>
  <c r="B776" i="10"/>
  <c r="B800" i="10"/>
  <c r="B824" i="10"/>
  <c r="B844" i="10"/>
  <c r="B859" i="10"/>
  <c r="B872" i="10"/>
  <c r="B884" i="10"/>
  <c r="B895" i="10"/>
  <c r="B907" i="10"/>
  <c r="B919" i="10"/>
  <c r="B931" i="10"/>
  <c r="B943" i="10"/>
  <c r="B955" i="10"/>
  <c r="B967" i="10"/>
  <c r="B979" i="10"/>
  <c r="B991" i="10"/>
  <c r="B1003" i="10"/>
  <c r="B1015" i="10"/>
  <c r="B1027" i="10"/>
  <c r="B1039" i="10"/>
  <c r="B1051" i="10"/>
  <c r="B1063" i="10"/>
  <c r="B1075" i="10"/>
  <c r="B1087" i="10"/>
  <c r="B1099" i="10"/>
  <c r="B1111" i="10"/>
  <c r="B1123" i="10"/>
  <c r="B1135" i="10"/>
  <c r="B1147" i="10"/>
  <c r="B1159" i="10"/>
  <c r="B1171" i="10"/>
  <c r="B1183" i="10"/>
  <c r="B1195" i="10"/>
  <c r="B1207" i="10"/>
  <c r="B1219" i="10"/>
  <c r="B31" i="10"/>
  <c r="B41" i="10"/>
  <c r="B77" i="10"/>
  <c r="B113" i="10"/>
  <c r="B149" i="10"/>
  <c r="B185" i="10"/>
  <c r="B221" i="10"/>
  <c r="B257" i="10"/>
  <c r="B293" i="10"/>
  <c r="B329" i="10"/>
  <c r="B365" i="10"/>
  <c r="B401" i="10"/>
  <c r="B437" i="10"/>
  <c r="B473" i="10"/>
  <c r="B509" i="10"/>
  <c r="B545" i="10"/>
  <c r="B581" i="10"/>
  <c r="B613" i="10"/>
  <c r="B637" i="10"/>
  <c r="B661" i="10"/>
  <c r="B685" i="10"/>
  <c r="B709" i="10"/>
  <c r="B733" i="10"/>
  <c r="B757" i="10"/>
  <c r="B781" i="10"/>
  <c r="B805" i="10"/>
  <c r="B828" i="10"/>
  <c r="B845" i="10"/>
  <c r="B861" i="10"/>
  <c r="B873" i="10"/>
  <c r="B885" i="10"/>
  <c r="B896" i="10"/>
  <c r="B908" i="10"/>
  <c r="B920" i="10"/>
  <c r="B932" i="10"/>
  <c r="B944" i="10"/>
  <c r="B956" i="10"/>
  <c r="B968" i="10"/>
  <c r="B980" i="10"/>
  <c r="B992" i="10"/>
  <c r="B1004" i="10"/>
  <c r="B1016" i="10"/>
  <c r="B1028" i="10"/>
  <c r="B1040" i="10"/>
  <c r="B1052" i="10"/>
  <c r="B1064" i="10"/>
  <c r="B1076" i="10"/>
  <c r="B1088" i="10"/>
  <c r="B1100" i="10"/>
  <c r="B1112" i="10"/>
  <c r="B1124" i="10"/>
  <c r="B1136" i="10"/>
  <c r="B1148" i="10"/>
  <c r="B1160" i="10"/>
  <c r="B1172" i="10"/>
  <c r="B1184" i="10"/>
  <c r="B1196" i="10"/>
  <c r="B1208" i="10"/>
  <c r="B1220" i="10"/>
  <c r="B50" i="10"/>
  <c r="B86" i="10"/>
  <c r="B122" i="10"/>
  <c r="B158" i="10"/>
  <c r="B194" i="10"/>
  <c r="B230" i="10"/>
  <c r="B266" i="10"/>
  <c r="B302" i="10"/>
  <c r="B338" i="10"/>
  <c r="B374" i="10"/>
  <c r="B410" i="10"/>
  <c r="B446" i="10"/>
  <c r="B482" i="10"/>
  <c r="B518" i="10"/>
  <c r="B554" i="10"/>
  <c r="B590" i="10"/>
  <c r="B614" i="10"/>
  <c r="B638" i="10"/>
  <c r="B662" i="10"/>
  <c r="B686" i="10"/>
  <c r="B710" i="10"/>
  <c r="B734" i="10"/>
  <c r="B758" i="10"/>
  <c r="B782" i="10"/>
  <c r="B806" i="10"/>
  <c r="B829" i="10"/>
  <c r="B848" i="10"/>
  <c r="B862" i="10"/>
  <c r="B874" i="10"/>
  <c r="B886" i="10"/>
  <c r="B897" i="10"/>
  <c r="B909" i="10"/>
  <c r="B921" i="10"/>
  <c r="B933" i="10"/>
  <c r="B945" i="10"/>
  <c r="B957" i="10"/>
  <c r="B969" i="10"/>
  <c r="B981" i="10"/>
  <c r="B993" i="10"/>
  <c r="B1005" i="10"/>
  <c r="B1017" i="10"/>
  <c r="B1029" i="10"/>
  <c r="B1041" i="10"/>
  <c r="B1053" i="10"/>
  <c r="B1065" i="10"/>
  <c r="B1077" i="10"/>
  <c r="B1089" i="10"/>
  <c r="B1101" i="10"/>
  <c r="B1113" i="10"/>
  <c r="B1125" i="10"/>
  <c r="B1137" i="10"/>
  <c r="B1149" i="10"/>
  <c r="B1161" i="10"/>
  <c r="B1173" i="10"/>
  <c r="B1185" i="10"/>
  <c r="B1197" i="10"/>
  <c r="B1209" i="10"/>
  <c r="B1221" i="10"/>
  <c r="B5" i="10"/>
  <c r="B51" i="10"/>
  <c r="B87" i="10"/>
  <c r="B123" i="10"/>
  <c r="B159" i="10"/>
  <c r="B195" i="10"/>
  <c r="B231" i="10"/>
  <c r="B267" i="10"/>
  <c r="B303" i="10"/>
  <c r="B339" i="10"/>
  <c r="B375" i="10"/>
  <c r="B411" i="10"/>
  <c r="B447" i="10"/>
  <c r="B483" i="10"/>
  <c r="B519" i="10"/>
  <c r="B555" i="10"/>
  <c r="B591" i="10"/>
  <c r="B615" i="10"/>
  <c r="B639" i="10"/>
  <c r="B663" i="10"/>
  <c r="B687" i="10"/>
  <c r="B711" i="10"/>
  <c r="B735" i="10"/>
  <c r="B759" i="10"/>
  <c r="B783" i="10"/>
  <c r="B807" i="10"/>
  <c r="B830" i="10"/>
  <c r="B850" i="10"/>
  <c r="B863" i="10"/>
  <c r="B875" i="10"/>
  <c r="B887" i="10"/>
  <c r="B898" i="10"/>
  <c r="B910" i="10"/>
  <c r="B922" i="10"/>
  <c r="B934" i="10"/>
  <c r="B946" i="10"/>
  <c r="B958" i="10"/>
  <c r="B970" i="10"/>
  <c r="B982" i="10"/>
  <c r="B994" i="10"/>
  <c r="B1006" i="10"/>
  <c r="B1018" i="10"/>
  <c r="B1030" i="10"/>
  <c r="B1042" i="10"/>
  <c r="B1054" i="10"/>
  <c r="B1066" i="10"/>
  <c r="B1078" i="10"/>
  <c r="B1090" i="10"/>
  <c r="B1102" i="10"/>
  <c r="B1114" i="10"/>
  <c r="B1126" i="10"/>
  <c r="B1138" i="10"/>
  <c r="B1150" i="10"/>
  <c r="B1162" i="10"/>
  <c r="B1174" i="10"/>
  <c r="B1186" i="10"/>
  <c r="B1198" i="10"/>
  <c r="B1210" i="10"/>
  <c r="B1222" i="10"/>
  <c r="B7" i="10"/>
  <c r="B52" i="10"/>
  <c r="B88" i="10"/>
  <c r="B124" i="10"/>
  <c r="B160" i="10"/>
  <c r="B196" i="10"/>
  <c r="B232" i="10"/>
  <c r="B268" i="10"/>
  <c r="B304" i="10"/>
  <c r="B340" i="10"/>
  <c r="B376" i="10"/>
  <c r="B412" i="10"/>
  <c r="B448" i="10"/>
  <c r="B484" i="10"/>
  <c r="B520" i="10"/>
  <c r="B556" i="10"/>
  <c r="B592" i="10"/>
  <c r="B616" i="10"/>
  <c r="B640" i="10"/>
  <c r="B664" i="10"/>
  <c r="B688" i="10"/>
  <c r="B712" i="10"/>
  <c r="B736" i="10"/>
  <c r="B760" i="10"/>
  <c r="B784" i="10"/>
  <c r="B808" i="10"/>
  <c r="B831" i="10"/>
  <c r="B851" i="10"/>
  <c r="B864" i="10"/>
  <c r="B876" i="10"/>
  <c r="B888" i="10"/>
  <c r="B899" i="10"/>
  <c r="B911" i="10"/>
  <c r="B923" i="10"/>
  <c r="B935" i="10"/>
  <c r="B947" i="10"/>
  <c r="B959" i="10"/>
  <c r="B971" i="10"/>
  <c r="B983" i="10"/>
  <c r="B995" i="10"/>
  <c r="B1007" i="10"/>
  <c r="B1019" i="10"/>
  <c r="B1031" i="10"/>
  <c r="B1043" i="10"/>
  <c r="B1055" i="10"/>
  <c r="B1067" i="10"/>
  <c r="B1079" i="10"/>
  <c r="B1091" i="10"/>
  <c r="B1103" i="10"/>
  <c r="B1115" i="10"/>
  <c r="B1127" i="10"/>
  <c r="B1139" i="10"/>
  <c r="B1151" i="10"/>
  <c r="B1163" i="10"/>
  <c r="B1175" i="10"/>
  <c r="B1187" i="10"/>
  <c r="B1199" i="10"/>
  <c r="B1211" i="10"/>
  <c r="B1223" i="10"/>
  <c r="B8" i="10"/>
  <c r="B53" i="10"/>
  <c r="B89" i="10"/>
  <c r="B125" i="10"/>
  <c r="B161" i="10"/>
  <c r="B197" i="10"/>
  <c r="B233" i="10"/>
  <c r="B269" i="10"/>
  <c r="B305" i="10"/>
  <c r="B341" i="10"/>
  <c r="B377" i="10"/>
  <c r="B413" i="10"/>
  <c r="B449" i="10"/>
  <c r="B485" i="10"/>
  <c r="B521" i="10"/>
  <c r="B557" i="10"/>
  <c r="B593" i="10"/>
  <c r="B617" i="10"/>
  <c r="B641" i="10"/>
  <c r="B665" i="10"/>
  <c r="B689" i="10"/>
  <c r="B713" i="10"/>
  <c r="B737" i="10"/>
  <c r="B761" i="10"/>
  <c r="B785" i="10"/>
  <c r="B809" i="10"/>
  <c r="B832" i="10"/>
  <c r="B852" i="10"/>
  <c r="B865" i="10"/>
  <c r="B877" i="10"/>
  <c r="B900" i="10"/>
  <c r="B912" i="10"/>
  <c r="B924" i="10"/>
  <c r="B936" i="10"/>
  <c r="B948" i="10"/>
  <c r="B960" i="10"/>
  <c r="B972" i="10"/>
  <c r="B984" i="10"/>
  <c r="B996" i="10"/>
  <c r="B1008" i="10"/>
  <c r="B1020" i="10"/>
  <c r="B1032" i="10"/>
  <c r="B1044" i="10"/>
  <c r="B1056" i="10"/>
  <c r="B1068" i="10"/>
  <c r="B1080" i="10"/>
  <c r="B1092" i="10"/>
  <c r="B1104" i="10"/>
  <c r="B1116" i="10"/>
  <c r="B1128" i="10"/>
  <c r="B1140" i="10"/>
  <c r="B1152" i="10"/>
  <c r="B1164" i="10"/>
  <c r="B1176" i="10"/>
  <c r="B1188" i="10"/>
  <c r="B1200" i="10"/>
  <c r="B1212" i="10"/>
  <c r="B1224" i="10"/>
  <c r="B16" i="10"/>
  <c r="B62" i="10"/>
  <c r="B98" i="10"/>
  <c r="B134" i="10"/>
  <c r="B170" i="10"/>
  <c r="B206" i="10"/>
  <c r="B242" i="10"/>
  <c r="B278" i="10"/>
  <c r="B314" i="10"/>
  <c r="B350" i="10"/>
  <c r="B386" i="10"/>
  <c r="B422" i="10"/>
  <c r="B458" i="10"/>
  <c r="B494" i="10"/>
  <c r="B530" i="10"/>
  <c r="B566" i="10"/>
  <c r="B596" i="10"/>
  <c r="B620" i="10"/>
  <c r="B644" i="10"/>
  <c r="B668" i="10"/>
  <c r="B692" i="10"/>
  <c r="B716" i="10"/>
  <c r="B740" i="10"/>
  <c r="B764" i="10"/>
  <c r="B788" i="10"/>
  <c r="B812" i="10"/>
  <c r="B833" i="10"/>
  <c r="B853" i="10"/>
  <c r="B866" i="10"/>
  <c r="B878" i="10"/>
  <c r="B889" i="10"/>
  <c r="B901" i="10"/>
  <c r="B913" i="10"/>
  <c r="B925" i="10"/>
  <c r="B937" i="10"/>
  <c r="B949" i="10"/>
  <c r="B961" i="10"/>
  <c r="B973" i="10"/>
  <c r="B985" i="10"/>
  <c r="B997" i="10"/>
  <c r="B1009" i="10"/>
  <c r="B1021" i="10"/>
  <c r="B1033" i="10"/>
  <c r="B1045" i="10"/>
  <c r="B1057" i="10"/>
  <c r="B1069" i="10"/>
  <c r="B1081" i="10"/>
  <c r="B1093" i="10"/>
  <c r="B1105" i="10"/>
  <c r="B1117" i="10"/>
  <c r="B1129" i="10"/>
  <c r="B1141" i="10"/>
  <c r="B1153" i="10"/>
  <c r="B1165" i="10"/>
  <c r="B1177" i="10"/>
  <c r="B1189" i="10"/>
  <c r="B1201" i="10"/>
  <c r="B1213" i="10"/>
  <c r="B1225" i="10"/>
  <c r="B17" i="10"/>
  <c r="B63" i="10"/>
  <c r="B99" i="10"/>
  <c r="B135" i="10"/>
  <c r="B171" i="10"/>
  <c r="B207" i="10"/>
  <c r="B243" i="10"/>
  <c r="B279" i="10"/>
  <c r="B315" i="10"/>
  <c r="B351" i="10"/>
  <c r="B387" i="10"/>
  <c r="B423" i="10"/>
  <c r="B459" i="10"/>
  <c r="B495" i="10"/>
  <c r="B531" i="10"/>
  <c r="B567" i="10"/>
  <c r="B601" i="10"/>
  <c r="B625" i="10"/>
  <c r="B649" i="10"/>
  <c r="B673" i="10"/>
  <c r="B697" i="10"/>
  <c r="B721" i="10"/>
  <c r="B745" i="10"/>
  <c r="B769" i="10"/>
  <c r="B793" i="10"/>
  <c r="B817" i="10"/>
  <c r="B836" i="10"/>
  <c r="B854" i="10"/>
  <c r="B867" i="10"/>
  <c r="B879" i="10"/>
  <c r="B890" i="10"/>
  <c r="B902" i="10"/>
  <c r="B914" i="10"/>
  <c r="B926" i="10"/>
  <c r="B938" i="10"/>
  <c r="B950" i="10"/>
  <c r="B962" i="10"/>
  <c r="B974" i="10"/>
  <c r="B986" i="10"/>
  <c r="B998" i="10"/>
  <c r="B1010" i="10"/>
  <c r="B1022" i="10"/>
  <c r="B1034" i="10"/>
  <c r="B1046" i="10"/>
  <c r="B1058" i="10"/>
  <c r="B1070" i="10"/>
  <c r="B1082" i="10"/>
  <c r="B1094" i="10"/>
  <c r="B1106" i="10"/>
  <c r="B1118" i="10"/>
  <c r="B1130" i="10"/>
  <c r="B1142" i="10"/>
  <c r="B1154" i="10"/>
  <c r="B1166" i="10"/>
  <c r="B1178" i="10"/>
  <c r="B1190" i="10"/>
  <c r="B1202" i="10"/>
  <c r="B1214" i="10"/>
  <c r="B2" i="10"/>
  <c r="B18" i="10"/>
  <c r="B64" i="10"/>
  <c r="B100" i="10"/>
  <c r="B136" i="10"/>
  <c r="B172" i="10"/>
  <c r="B208" i="10"/>
  <c r="B244" i="10"/>
  <c r="B280" i="10"/>
  <c r="B316" i="10"/>
  <c r="B352" i="10"/>
  <c r="B388" i="10"/>
  <c r="B424" i="10"/>
  <c r="B460" i="10"/>
  <c r="B496" i="10"/>
  <c r="B532" i="10"/>
  <c r="B568" i="10"/>
  <c r="B602" i="10"/>
  <c r="B626" i="10"/>
  <c r="B650" i="10"/>
  <c r="B674" i="10"/>
  <c r="B698" i="10"/>
  <c r="B722" i="10"/>
  <c r="B746" i="10"/>
  <c r="B770" i="10"/>
  <c r="B794" i="10"/>
  <c r="B818" i="10"/>
  <c r="B840" i="10"/>
  <c r="B855" i="10"/>
  <c r="B868" i="10"/>
  <c r="B880" i="10"/>
  <c r="B891" i="10"/>
  <c r="B903" i="10"/>
  <c r="B915" i="10"/>
  <c r="B927" i="10"/>
  <c r="B939" i="10"/>
  <c r="B951" i="10"/>
  <c r="B963" i="10"/>
  <c r="B975" i="10"/>
  <c r="B987" i="10"/>
  <c r="B999" i="10"/>
  <c r="B1011" i="10"/>
  <c r="B1023" i="10"/>
  <c r="B1035" i="10"/>
  <c r="B1047" i="10"/>
  <c r="B1059" i="10"/>
  <c r="B1071" i="10"/>
  <c r="B1083" i="10"/>
  <c r="B1095" i="10"/>
  <c r="B1107" i="10"/>
  <c r="B1119" i="10"/>
  <c r="B1131" i="10"/>
  <c r="B1143" i="10"/>
  <c r="B1155" i="10"/>
  <c r="B1167" i="10"/>
  <c r="B1179" i="10"/>
  <c r="B1191" i="10"/>
  <c r="B1203" i="10"/>
  <c r="B1215" i="10"/>
  <c r="B19" i="10"/>
  <c r="B65" i="10"/>
  <c r="B101" i="10"/>
  <c r="B137" i="10"/>
  <c r="B173" i="10"/>
  <c r="B209" i="10"/>
  <c r="B245" i="10"/>
  <c r="B281" i="10"/>
  <c r="B317" i="10"/>
  <c r="B353" i="10"/>
  <c r="B389" i="10"/>
  <c r="B425" i="10"/>
  <c r="B461" i="10"/>
  <c r="B497" i="10"/>
  <c r="B533" i="10"/>
  <c r="B569" i="10"/>
  <c r="B603" i="10"/>
  <c r="B627" i="10"/>
  <c r="B651" i="10"/>
  <c r="B675" i="10"/>
  <c r="B699" i="10"/>
  <c r="B723" i="10"/>
  <c r="B747" i="10"/>
  <c r="B771" i="10"/>
  <c r="B795" i="10"/>
  <c r="B819" i="10"/>
  <c r="B841" i="10"/>
  <c r="B856" i="10"/>
  <c r="B869" i="10"/>
  <c r="B881" i="10"/>
  <c r="B892" i="10"/>
  <c r="B904" i="10"/>
  <c r="B916" i="10"/>
  <c r="B928" i="10"/>
  <c r="B940" i="10"/>
  <c r="B952" i="10"/>
  <c r="B964" i="10"/>
  <c r="B976" i="10"/>
  <c r="B988" i="10"/>
  <c r="B1000" i="10"/>
  <c r="B1012" i="10"/>
  <c r="B1024" i="10"/>
  <c r="B1036" i="10"/>
  <c r="B1048" i="10"/>
  <c r="B1060" i="10"/>
  <c r="B1072" i="10"/>
  <c r="B1084" i="10"/>
  <c r="B1096" i="10"/>
  <c r="B1108" i="10"/>
  <c r="B1120" i="10"/>
  <c r="B1132" i="10"/>
  <c r="B1144" i="10"/>
  <c r="B1156" i="10"/>
  <c r="B1168" i="10"/>
  <c r="B1180" i="10"/>
  <c r="B1192" i="10"/>
  <c r="B1204" i="10"/>
  <c r="B1216" i="10"/>
  <c r="B28" i="10"/>
  <c r="B38" i="10"/>
  <c r="B74" i="10"/>
  <c r="B110" i="10"/>
  <c r="B146" i="10"/>
  <c r="B182" i="10"/>
  <c r="B218" i="10"/>
  <c r="B254" i="10"/>
  <c r="B290" i="10"/>
  <c r="B326" i="10"/>
  <c r="B362" i="10"/>
  <c r="B398" i="10"/>
  <c r="B434" i="10"/>
  <c r="B470" i="10"/>
  <c r="B506" i="10"/>
  <c r="B542" i="10"/>
  <c r="B578" i="10"/>
  <c r="B604" i="10"/>
  <c r="B628" i="10"/>
  <c r="B652" i="10"/>
  <c r="B676" i="10"/>
  <c r="B700" i="10"/>
  <c r="B724" i="10"/>
  <c r="B748" i="10"/>
  <c r="B772" i="10"/>
  <c r="B796" i="10"/>
  <c r="B820" i="10"/>
  <c r="B842" i="10"/>
  <c r="B857" i="10"/>
  <c r="B870" i="10"/>
  <c r="B882" i="10"/>
  <c r="B893" i="10"/>
  <c r="B905" i="10"/>
  <c r="B917" i="10"/>
  <c r="B929" i="10"/>
  <c r="B941" i="10"/>
  <c r="B953" i="10"/>
  <c r="B965" i="10"/>
  <c r="B977" i="10"/>
  <c r="B989" i="10"/>
  <c r="B1001" i="10"/>
  <c r="B1013" i="10"/>
  <c r="B1025" i="10"/>
  <c r="B1037" i="10"/>
  <c r="B1049" i="10"/>
  <c r="B1061" i="10"/>
  <c r="B1073" i="10"/>
  <c r="B1085" i="10"/>
  <c r="B1097" i="10"/>
  <c r="B1109" i="10"/>
  <c r="B1121" i="10"/>
  <c r="B1133" i="10"/>
  <c r="B1145" i="10"/>
  <c r="B1157" i="10"/>
  <c r="B1169" i="10"/>
  <c r="B1181" i="10"/>
  <c r="B1193" i="10"/>
  <c r="B1205" i="10"/>
  <c r="B1217" i="10"/>
  <c r="B37" i="9"/>
  <c r="A37" i="9" s="1"/>
  <c r="B27" i="9"/>
  <c r="A27" i="9" s="1"/>
  <c r="B8" i="9"/>
  <c r="A8" i="9" s="1"/>
  <c r="B152" i="9"/>
  <c r="B128" i="9"/>
  <c r="B1098" i="10"/>
  <c r="B954" i="10"/>
  <c r="B773" i="10"/>
  <c r="B435" i="10"/>
  <c r="B47" i="9"/>
  <c r="A47" i="9" s="1"/>
  <c r="B26" i="9"/>
  <c r="A26" i="9" s="1"/>
  <c r="B16" i="9"/>
  <c r="A16" i="9" s="1"/>
  <c r="B151" i="9"/>
  <c r="B1086" i="10"/>
  <c r="B942" i="10"/>
  <c r="B749" i="10"/>
  <c r="B399" i="10"/>
  <c r="N238" i="9"/>
  <c r="B87" i="9"/>
  <c r="B99" i="9"/>
  <c r="B114" i="9"/>
  <c r="B126" i="9"/>
  <c r="B138" i="9"/>
  <c r="B150" i="9"/>
  <c r="B3" i="9"/>
  <c r="B10" i="9"/>
  <c r="A10" i="9" s="1"/>
  <c r="B17" i="9"/>
  <c r="A17" i="9" s="1"/>
  <c r="B25" i="9"/>
  <c r="A25" i="9" s="1"/>
  <c r="B32" i="9"/>
  <c r="A32" i="9" s="1"/>
  <c r="B39" i="9"/>
  <c r="A39" i="9" s="1"/>
  <c r="B48" i="9"/>
  <c r="A48" i="9" s="1"/>
  <c r="C81" i="11"/>
  <c r="B88" i="9"/>
  <c r="N239" i="9"/>
  <c r="B89" i="9"/>
  <c r="B90" i="9"/>
  <c r="B117" i="9"/>
  <c r="B129" i="9"/>
  <c r="B141" i="9"/>
  <c r="B153" i="9"/>
  <c r="N234" i="9"/>
  <c r="N243" i="9"/>
  <c r="B91" i="9"/>
  <c r="B118" i="9"/>
  <c r="B130" i="9"/>
  <c r="B142" i="9"/>
  <c r="B154" i="9"/>
  <c r="C83" i="11"/>
  <c r="B92" i="9"/>
  <c r="B107" i="9"/>
  <c r="B119" i="9"/>
  <c r="B131" i="9"/>
  <c r="B143" i="9"/>
  <c r="N235" i="9"/>
  <c r="N244" i="9"/>
  <c r="B81" i="9"/>
  <c r="B93" i="9"/>
  <c r="B108" i="9"/>
  <c r="B120" i="9"/>
  <c r="B132" i="9"/>
  <c r="B144" i="9"/>
  <c r="B7" i="9"/>
  <c r="A7" i="9" s="1"/>
  <c r="B14" i="9"/>
  <c r="A14" i="9" s="1"/>
  <c r="B21" i="9"/>
  <c r="A21" i="9" s="1"/>
  <c r="B28" i="9"/>
  <c r="A28" i="9" s="1"/>
  <c r="B35" i="9"/>
  <c r="A35" i="9" s="1"/>
  <c r="B43" i="9"/>
  <c r="A43" i="9" s="1"/>
  <c r="C62" i="11"/>
  <c r="C84" i="11"/>
  <c r="B82" i="9"/>
  <c r="B94" i="9"/>
  <c r="B109" i="9"/>
  <c r="B121" i="9"/>
  <c r="B133" i="9"/>
  <c r="B145" i="9"/>
  <c r="N245" i="9"/>
  <c r="B149" i="9"/>
  <c r="B125" i="9"/>
  <c r="O62" i="11"/>
  <c r="B1218" i="10"/>
  <c r="B1074" i="10"/>
  <c r="B930" i="10"/>
  <c r="B725" i="10"/>
  <c r="B363" i="10"/>
  <c r="B29" i="10"/>
  <c r="B46" i="9"/>
  <c r="A46" i="9" s="1"/>
  <c r="B34" i="9"/>
  <c r="A34" i="9" s="1"/>
  <c r="B15" i="9"/>
  <c r="A15" i="9" s="1"/>
  <c r="B5" i="9"/>
  <c r="A5" i="9" s="1"/>
  <c r="B148" i="9"/>
  <c r="B124" i="9"/>
  <c r="B98" i="9"/>
  <c r="B1206" i="10"/>
  <c r="B1062" i="10"/>
  <c r="B918" i="10"/>
  <c r="B701" i="10"/>
  <c r="B327" i="10"/>
  <c r="B33" i="9"/>
  <c r="A33" i="9" s="1"/>
  <c r="B24" i="9"/>
  <c r="A24" i="9" s="1"/>
  <c r="B4" i="9"/>
  <c r="A4" i="9" s="1"/>
  <c r="B147" i="9"/>
  <c r="B123" i="9"/>
  <c r="B97" i="9"/>
  <c r="B1194" i="10"/>
  <c r="B1050" i="10"/>
  <c r="B906" i="10"/>
  <c r="B677" i="10"/>
  <c r="B291" i="10"/>
  <c r="B146" i="9"/>
  <c r="B122" i="9"/>
  <c r="B96" i="9"/>
  <c r="B1182" i="10"/>
  <c r="B1038" i="10"/>
  <c r="B894" i="10"/>
  <c r="B653" i="10"/>
  <c r="B255" i="10"/>
  <c r="B23" i="1"/>
  <c r="B42" i="9"/>
  <c r="A42" i="9" s="1"/>
  <c r="B22" i="9"/>
  <c r="A22" i="9" s="1"/>
  <c r="B13" i="9"/>
  <c r="A13" i="9" s="1"/>
  <c r="B140" i="9"/>
  <c r="B116" i="9"/>
  <c r="B95" i="9"/>
  <c r="B1170" i="10"/>
  <c r="B1026" i="10"/>
  <c r="B883" i="10"/>
  <c r="B629" i="10"/>
  <c r="B219" i="10"/>
  <c r="B41" i="9"/>
  <c r="A41" i="9" s="1"/>
  <c r="B31" i="9"/>
  <c r="A31" i="9" s="1"/>
  <c r="B12" i="9"/>
  <c r="A12" i="9" s="1"/>
  <c r="B139" i="9"/>
  <c r="B115" i="9"/>
  <c r="B86" i="9"/>
  <c r="C80" i="11"/>
  <c r="B1158" i="10"/>
  <c r="B1014" i="10"/>
  <c r="B871" i="10"/>
  <c r="B605" i="10"/>
  <c r="B183" i="10"/>
  <c r="AO19" i="1" a="1"/>
  <c r="AO19" i="1" s="1"/>
  <c r="B137" i="9"/>
  <c r="B113" i="9"/>
  <c r="B85" i="9"/>
  <c r="B1146" i="10"/>
  <c r="B1002" i="10"/>
  <c r="B858" i="10"/>
  <c r="B579" i="10"/>
  <c r="B147" i="10"/>
  <c r="B50" i="9"/>
  <c r="A50" i="9" s="1"/>
  <c r="B30" i="9"/>
  <c r="A30" i="9" s="1"/>
  <c r="B20" i="9"/>
  <c r="A20" i="9" s="1"/>
  <c r="B136" i="9"/>
  <c r="B112" i="9"/>
  <c r="B84" i="9"/>
  <c r="B1134" i="10"/>
  <c r="B990" i="10"/>
  <c r="B843" i="10"/>
  <c r="B543" i="10"/>
  <c r="B111" i="10"/>
  <c r="B49" i="9"/>
  <c r="A49" i="9" s="1"/>
  <c r="B38" i="9"/>
  <c r="A38" i="9" s="1"/>
  <c r="B19" i="9"/>
  <c r="A19" i="9" s="1"/>
  <c r="B9" i="9"/>
  <c r="A9" i="9" s="1"/>
  <c r="B55" i="9"/>
  <c r="B135" i="9"/>
  <c r="B111" i="9"/>
  <c r="B83" i="9"/>
  <c r="B1122" i="10"/>
  <c r="B978" i="10"/>
  <c r="B821" i="10"/>
  <c r="B507" i="10"/>
  <c r="B75" i="10"/>
  <c r="R43" i="13"/>
  <c r="E38" i="1"/>
  <c r="O114" i="9"/>
  <c r="O113" i="9"/>
  <c r="O123" i="9"/>
  <c r="O133" i="9"/>
  <c r="O135" i="9"/>
  <c r="W5" i="14"/>
  <c r="O108" i="9"/>
  <c r="A108" i="9" s="1"/>
  <c r="O110" i="9"/>
  <c r="A110" i="9" s="1"/>
  <c r="E2" i="13"/>
  <c r="O112" i="9"/>
  <c r="L140" i="9"/>
  <c r="O140" i="9"/>
  <c r="Q110" i="1"/>
  <c r="O137" i="9"/>
  <c r="L146" i="9"/>
  <c r="O149" i="9"/>
  <c r="K47" i="9"/>
  <c r="L128" i="9"/>
  <c r="A128" i="9" s="1"/>
  <c r="O129" i="9"/>
  <c r="L114" i="9"/>
  <c r="L152" i="9"/>
  <c r="L129" i="9"/>
  <c r="K41" i="9"/>
  <c r="L136" i="9"/>
  <c r="L132" i="9"/>
  <c r="L143" i="9"/>
  <c r="L149" i="9"/>
  <c r="L115" i="9"/>
  <c r="O130" i="9"/>
  <c r="L109" i="9"/>
  <c r="L113" i="9"/>
  <c r="O132" i="9"/>
  <c r="O146" i="9"/>
  <c r="L116" i="9"/>
  <c r="A116" i="9" s="1"/>
  <c r="O148" i="9"/>
  <c r="K46" i="9"/>
  <c r="O150" i="9"/>
  <c r="O131" i="9"/>
  <c r="L135" i="9"/>
  <c r="O154" i="9"/>
  <c r="O147" i="9"/>
  <c r="L130" i="9"/>
  <c r="O151" i="9"/>
  <c r="O138" i="9"/>
  <c r="O118" i="9"/>
  <c r="O141" i="9"/>
  <c r="O107" i="9"/>
  <c r="O142" i="9"/>
  <c r="O119" i="9"/>
  <c r="S5" i="14"/>
  <c r="O117" i="9"/>
  <c r="A117" i="9" s="1"/>
  <c r="B85" i="1"/>
  <c r="B101" i="11"/>
  <c r="K42" i="9"/>
  <c r="L5" i="9"/>
  <c r="K48" i="9"/>
  <c r="K43" i="9"/>
  <c r="K39" i="9"/>
  <c r="L39" i="9"/>
  <c r="B9" i="11"/>
  <c r="L4" i="9"/>
  <c r="Q28" i="1"/>
  <c r="E2" i="11"/>
  <c r="L22" i="9"/>
  <c r="B11" i="13"/>
  <c r="B93" i="1"/>
  <c r="BB70" i="1"/>
  <c r="B1" i="5"/>
  <c r="AR69" i="1"/>
  <c r="K49" i="9"/>
  <c r="AC130" i="1"/>
  <c r="B11" i="5"/>
  <c r="AR67" i="1"/>
  <c r="C10" i="4"/>
  <c r="S57" i="1"/>
  <c r="B12" i="14"/>
  <c r="K38" i="9"/>
  <c r="K33" i="9"/>
  <c r="O121" i="9"/>
  <c r="T2" i="13"/>
  <c r="L26" i="9"/>
  <c r="S5" i="1"/>
  <c r="H135" i="11"/>
  <c r="B14" i="14"/>
  <c r="K37" i="9"/>
  <c r="L10" i="9"/>
  <c r="N135" i="11"/>
  <c r="BJ69" i="1"/>
  <c r="B5" i="11"/>
  <c r="B7" i="14"/>
  <c r="L9" i="9"/>
  <c r="N5" i="11"/>
  <c r="O145" i="9"/>
  <c r="BJ70" i="1"/>
  <c r="L28" i="9"/>
  <c r="T5" i="11"/>
  <c r="R8" i="3"/>
  <c r="BJ63" i="1"/>
  <c r="L7" i="9"/>
  <c r="O115" i="9"/>
  <c r="K25" i="9"/>
  <c r="B65" i="9"/>
  <c r="A65" i="9" s="1"/>
  <c r="O126" i="9"/>
  <c r="B57" i="9"/>
  <c r="A57" i="9" s="1"/>
  <c r="O152" i="9"/>
  <c r="A153" i="9"/>
  <c r="B73" i="9"/>
  <c r="A73" i="9" s="1"/>
  <c r="B67" i="9"/>
  <c r="A67" i="9" s="1"/>
  <c r="B59" i="9"/>
  <c r="A59" i="9" s="1"/>
  <c r="K4" i="9"/>
  <c r="K15" i="9"/>
  <c r="B77" i="9"/>
  <c r="A77" i="9" s="1"/>
  <c r="B60" i="9"/>
  <c r="A60" i="9" s="1"/>
  <c r="K17" i="9"/>
  <c r="K13" i="9"/>
  <c r="Q11" i="1"/>
  <c r="B66" i="9"/>
  <c r="A66" i="9" s="1"/>
  <c r="K10" i="9"/>
  <c r="B56" i="9"/>
  <c r="A56" i="9" s="1"/>
  <c r="B69" i="9"/>
  <c r="A69" i="9" s="1"/>
  <c r="B70" i="9"/>
  <c r="A70" i="9" s="1"/>
  <c r="B75" i="9"/>
  <c r="A75" i="9" s="1"/>
  <c r="B78" i="9"/>
  <c r="A78" i="9" s="1"/>
  <c r="K12" i="9"/>
  <c r="K14" i="9"/>
  <c r="K8" i="9"/>
  <c r="K9" i="9"/>
  <c r="O127" i="9"/>
  <c r="B72" i="9"/>
  <c r="A72" i="9" s="1"/>
  <c r="B61" i="9"/>
  <c r="A61" i="9" s="1"/>
  <c r="K3" i="9"/>
  <c r="K7" i="9"/>
  <c r="B8" i="14"/>
  <c r="B13" i="14"/>
  <c r="AR71" i="1"/>
  <c r="O125" i="9"/>
  <c r="A125" i="9" s="1"/>
  <c r="K30" i="9"/>
  <c r="K19" i="9"/>
  <c r="L21" i="9"/>
  <c r="K5" i="9"/>
  <c r="K35" i="9"/>
  <c r="AR68" i="1"/>
  <c r="B60" i="11"/>
  <c r="O120" i="9"/>
  <c r="AY110" i="1"/>
  <c r="BB64" i="1"/>
  <c r="B13" i="13"/>
  <c r="L43" i="9"/>
  <c r="L19" i="9"/>
  <c r="Z2" i="1"/>
  <c r="O136" i="9"/>
  <c r="C12" i="4"/>
  <c r="BB69" i="1"/>
  <c r="K26" i="9"/>
  <c r="L41" i="9"/>
  <c r="Z11" i="1"/>
  <c r="AL39" i="1"/>
  <c r="O134" i="9"/>
  <c r="AT107" i="1"/>
  <c r="L24" i="9"/>
  <c r="K34" i="9"/>
  <c r="K28" i="9"/>
  <c r="AT106" i="1"/>
  <c r="L25" i="9"/>
  <c r="L8" i="9"/>
  <c r="Z28" i="1"/>
  <c r="K31" i="9"/>
  <c r="AO15" i="1"/>
  <c r="L38" i="9"/>
  <c r="O124" i="9"/>
  <c r="AL37" i="1"/>
  <c r="AL64" i="1" s="1"/>
  <c r="AW73" i="1" s="1"/>
  <c r="K24" i="9"/>
  <c r="K32" i="9"/>
  <c r="B31" i="11"/>
  <c r="BJ68" i="1"/>
  <c r="B4" i="5"/>
  <c r="L42" i="9"/>
  <c r="O144" i="9"/>
  <c r="BJ64" i="1"/>
  <c r="L3" i="9"/>
  <c r="O143" i="9"/>
  <c r="K21" i="9"/>
  <c r="K20" i="9"/>
  <c r="B12" i="5"/>
  <c r="K27" i="9"/>
  <c r="L20" i="9"/>
  <c r="O139" i="9"/>
  <c r="BB65" i="1"/>
  <c r="AR72" i="1"/>
  <c r="AR70" i="1"/>
  <c r="AR73" i="1"/>
  <c r="C99" i="27" l="1"/>
  <c r="C99" i="14"/>
  <c r="A105" i="14"/>
  <c r="D98" i="27"/>
  <c r="D99" i="29"/>
  <c r="C98" i="27"/>
  <c r="C99" i="29"/>
  <c r="D98" i="29"/>
  <c r="D99" i="28"/>
  <c r="C98" i="29"/>
  <c r="C99" i="28"/>
  <c r="A105" i="27"/>
  <c r="D98" i="28"/>
  <c r="C98" i="28"/>
  <c r="A105" i="29"/>
  <c r="D98" i="14"/>
  <c r="C98" i="14"/>
  <c r="A105" i="28"/>
  <c r="D99" i="27"/>
  <c r="D99" i="14"/>
  <c r="A102" i="29"/>
  <c r="A102" i="28"/>
  <c r="A102" i="14"/>
  <c r="A102" i="27"/>
  <c r="A98" i="28"/>
  <c r="A98" i="14"/>
  <c r="A98" i="27"/>
  <c r="A98" i="29"/>
  <c r="A108" i="29"/>
  <c r="A108" i="28"/>
  <c r="A108" i="27"/>
  <c r="A108" i="14"/>
  <c r="A80" i="14"/>
  <c r="A80" i="27"/>
  <c r="A80" i="29"/>
  <c r="A80" i="28"/>
  <c r="C129" i="25"/>
  <c r="A70" i="14"/>
  <c r="A70" i="27"/>
  <c r="A70" i="29"/>
  <c r="A70" i="28"/>
  <c r="A71" i="27"/>
  <c r="A71" i="14"/>
  <c r="A71" i="29"/>
  <c r="A71" i="28"/>
  <c r="A67" i="27"/>
  <c r="A67" i="29"/>
  <c r="A67" i="28"/>
  <c r="A67" i="14"/>
  <c r="A64" i="27"/>
  <c r="A64" i="29"/>
  <c r="A64" i="28"/>
  <c r="A64" i="14"/>
  <c r="A96" i="29"/>
  <c r="A96" i="14"/>
  <c r="A96" i="28"/>
  <c r="A96" i="27"/>
  <c r="A73" i="28"/>
  <c r="A73" i="14"/>
  <c r="A73" i="27"/>
  <c r="A73" i="29"/>
  <c r="A62" i="29"/>
  <c r="A62" i="28"/>
  <c r="A62" i="14"/>
  <c r="A62" i="27"/>
  <c r="C129" i="26"/>
  <c r="B197" i="9"/>
  <c r="B120" i="13" s="1"/>
  <c r="A81" i="27"/>
  <c r="A81" i="14"/>
  <c r="A81" i="29"/>
  <c r="A81" i="28"/>
  <c r="C129" i="1"/>
  <c r="A69" i="28"/>
  <c r="A69" i="14"/>
  <c r="A69" i="27"/>
  <c r="A69" i="29"/>
  <c r="A63" i="28"/>
  <c r="A63" i="27"/>
  <c r="A63" i="14"/>
  <c r="A63" i="29"/>
  <c r="BQ2" i="14"/>
  <c r="BS23" i="14" s="1" a="1"/>
  <c r="BS23" i="14" s="1"/>
  <c r="B225" i="9"/>
  <c r="A78" i="28"/>
  <c r="A78" i="14"/>
  <c r="A78" i="27"/>
  <c r="A78" i="29"/>
  <c r="A72" i="29"/>
  <c r="A72" i="28"/>
  <c r="A72" i="14"/>
  <c r="A72" i="27"/>
  <c r="A99" i="14"/>
  <c r="A99" i="27"/>
  <c r="A99" i="29"/>
  <c r="A99" i="28"/>
  <c r="A106" i="27"/>
  <c r="A106" i="29"/>
  <c r="A106" i="28"/>
  <c r="A106" i="14"/>
  <c r="A87" i="29"/>
  <c r="A87" i="28"/>
  <c r="A87" i="27"/>
  <c r="A87" i="14"/>
  <c r="A59" i="28"/>
  <c r="A59" i="14"/>
  <c r="A59" i="27"/>
  <c r="A59" i="29"/>
  <c r="D89" i="29"/>
  <c r="D83" i="29"/>
  <c r="D90" i="28"/>
  <c r="D84" i="28"/>
  <c r="D78" i="28"/>
  <c r="C88" i="27"/>
  <c r="C82" i="27"/>
  <c r="D90" i="14"/>
  <c r="C79" i="14"/>
  <c r="C89" i="29"/>
  <c r="C83" i="29"/>
  <c r="C90" i="28"/>
  <c r="C84" i="28"/>
  <c r="C78" i="28"/>
  <c r="D87" i="27"/>
  <c r="D81" i="27"/>
  <c r="D79" i="14"/>
  <c r="D91" i="14"/>
  <c r="C80" i="14"/>
  <c r="D88" i="29"/>
  <c r="D82" i="29"/>
  <c r="D89" i="28"/>
  <c r="D83" i="28"/>
  <c r="C87" i="27"/>
  <c r="C81" i="27"/>
  <c r="D80" i="14"/>
  <c r="D92" i="14"/>
  <c r="C81" i="14"/>
  <c r="C88" i="29"/>
  <c r="C82" i="29"/>
  <c r="C89" i="28"/>
  <c r="C83" i="28"/>
  <c r="D92" i="27"/>
  <c r="D86" i="27"/>
  <c r="D80" i="27"/>
  <c r="D81" i="14"/>
  <c r="C84" i="14"/>
  <c r="C82" i="14"/>
  <c r="A94" i="14"/>
  <c r="D87" i="29"/>
  <c r="D81" i="29"/>
  <c r="D88" i="28"/>
  <c r="D82" i="28"/>
  <c r="C92" i="27"/>
  <c r="C86" i="27"/>
  <c r="C80" i="27"/>
  <c r="A94" i="27"/>
  <c r="D82" i="14"/>
  <c r="C85" i="14"/>
  <c r="C83" i="14"/>
  <c r="C87" i="29"/>
  <c r="C81" i="29"/>
  <c r="C88" i="28"/>
  <c r="C82" i="28"/>
  <c r="D91" i="27"/>
  <c r="D85" i="27"/>
  <c r="D79" i="27"/>
  <c r="D83" i="14"/>
  <c r="C86" i="14"/>
  <c r="D92" i="29"/>
  <c r="D86" i="29"/>
  <c r="D80" i="29"/>
  <c r="D87" i="28"/>
  <c r="D81" i="28"/>
  <c r="C91" i="27"/>
  <c r="C85" i="27"/>
  <c r="C79" i="27"/>
  <c r="D84" i="14"/>
  <c r="C87" i="14"/>
  <c r="C92" i="29"/>
  <c r="C86" i="29"/>
  <c r="C80" i="29"/>
  <c r="A94" i="29"/>
  <c r="C87" i="28"/>
  <c r="C81" i="28"/>
  <c r="D90" i="27"/>
  <c r="D84" i="27"/>
  <c r="D78" i="27"/>
  <c r="D85" i="14"/>
  <c r="C88" i="14"/>
  <c r="D91" i="29"/>
  <c r="D85" i="29"/>
  <c r="D79" i="29"/>
  <c r="D92" i="28"/>
  <c r="D86" i="28"/>
  <c r="D80" i="28"/>
  <c r="C90" i="27"/>
  <c r="C84" i="27"/>
  <c r="C78" i="27"/>
  <c r="D86" i="14"/>
  <c r="C89" i="14"/>
  <c r="C91" i="29"/>
  <c r="C85" i="29"/>
  <c r="C79" i="29"/>
  <c r="C92" i="28"/>
  <c r="C86" i="28"/>
  <c r="C80" i="28"/>
  <c r="A94" i="28"/>
  <c r="D89" i="27"/>
  <c r="D83" i="27"/>
  <c r="D87" i="14"/>
  <c r="C90" i="14"/>
  <c r="D90" i="29"/>
  <c r="D84" i="29"/>
  <c r="D78" i="29"/>
  <c r="D91" i="28"/>
  <c r="D85" i="28"/>
  <c r="D79" i="28"/>
  <c r="C89" i="27"/>
  <c r="C83" i="27"/>
  <c r="D88" i="14"/>
  <c r="C91" i="14"/>
  <c r="D78" i="14"/>
  <c r="C90" i="29"/>
  <c r="C84" i="29"/>
  <c r="C78" i="29"/>
  <c r="C91" i="28"/>
  <c r="C85" i="28"/>
  <c r="C79" i="28"/>
  <c r="D88" i="27"/>
  <c r="D82" i="27"/>
  <c r="D89" i="14"/>
  <c r="C92" i="14"/>
  <c r="C78" i="14"/>
  <c r="A76" i="29"/>
  <c r="A76" i="28"/>
  <c r="A76" i="14"/>
  <c r="A76" i="27"/>
  <c r="A60" i="27"/>
  <c r="A60" i="14"/>
  <c r="A60" i="29"/>
  <c r="A60" i="28"/>
  <c r="A74" i="27"/>
  <c r="A74" i="14"/>
  <c r="A74" i="29"/>
  <c r="A74" i="28"/>
  <c r="A79" i="14"/>
  <c r="A79" i="27"/>
  <c r="A79" i="29"/>
  <c r="A79" i="28"/>
  <c r="A58" i="29"/>
  <c r="A58" i="28"/>
  <c r="A58" i="14"/>
  <c r="A58" i="27"/>
  <c r="A91" i="14"/>
  <c r="A91" i="27"/>
  <c r="A91" i="29"/>
  <c r="A91" i="28"/>
  <c r="A83" i="27"/>
  <c r="A83" i="29"/>
  <c r="A83" i="14"/>
  <c r="A83" i="28"/>
  <c r="A68" i="14"/>
  <c r="A68" i="29"/>
  <c r="A68" i="28"/>
  <c r="A68" i="27"/>
  <c r="A86" i="29"/>
  <c r="A86" i="28"/>
  <c r="A86" i="14"/>
  <c r="A86" i="27"/>
  <c r="A90" i="28"/>
  <c r="A90" i="14"/>
  <c r="A90" i="27"/>
  <c r="A90" i="29"/>
  <c r="A89" i="14"/>
  <c r="A89" i="28"/>
  <c r="A89" i="27"/>
  <c r="A89" i="29"/>
  <c r="A100" i="14"/>
  <c r="A100" i="27"/>
  <c r="A100" i="29"/>
  <c r="A100" i="28"/>
  <c r="A92" i="14"/>
  <c r="A92" i="27"/>
  <c r="A92" i="29"/>
  <c r="A92" i="28"/>
  <c r="A101" i="27"/>
  <c r="A101" i="14"/>
  <c r="A101" i="29"/>
  <c r="A101" i="28"/>
  <c r="A61" i="27"/>
  <c r="A61" i="29"/>
  <c r="A61" i="28"/>
  <c r="A61" i="14"/>
  <c r="C118" i="25"/>
  <c r="A85" i="27"/>
  <c r="A85" i="29"/>
  <c r="A85" i="28"/>
  <c r="A85" i="14"/>
  <c r="A88" i="29"/>
  <c r="A88" i="28"/>
  <c r="A88" i="27"/>
  <c r="A88" i="14"/>
  <c r="A82" i="27"/>
  <c r="A82" i="14"/>
  <c r="A82" i="29"/>
  <c r="A82" i="28"/>
  <c r="A75" i="27"/>
  <c r="A75" i="29"/>
  <c r="A75" i="28"/>
  <c r="A75" i="14"/>
  <c r="A95" i="27"/>
  <c r="A95" i="14"/>
  <c r="A95" i="29"/>
  <c r="A95" i="28"/>
  <c r="AY23" i="14" a="1"/>
  <c r="AY23" i="14" s="1"/>
  <c r="AY1" i="14" s="1"/>
  <c r="AL115" i="24"/>
  <c r="AL114" i="24" s="1"/>
  <c r="AH23" i="14" a="1"/>
  <c r="AH23" i="14" s="1"/>
  <c r="AH1" i="14" s="1"/>
  <c r="AG23" i="14" a="1"/>
  <c r="AG23" i="14" s="1"/>
  <c r="AG1" i="14" s="1"/>
  <c r="A151" i="9"/>
  <c r="AH23" i="27" a="1"/>
  <c r="AH23" i="27" s="1"/>
  <c r="AH1" i="27" s="1"/>
  <c r="AI23" i="27" a="1"/>
  <c r="AI23" i="27" s="1"/>
  <c r="AI1" i="27" s="1"/>
  <c r="AG23" i="29" a="1"/>
  <c r="AG23" i="29" s="1"/>
  <c r="AG1" i="29" s="1"/>
  <c r="AH23" i="29" a="1"/>
  <c r="AH23" i="29" s="1"/>
  <c r="AH1" i="29" s="1"/>
  <c r="BR23" i="27" a="1"/>
  <c r="BR23" i="27" s="1"/>
  <c r="BR1" i="27" s="1"/>
  <c r="BS23" i="27" a="1"/>
  <c r="BS23" i="27" s="1"/>
  <c r="BS1" i="27" s="1"/>
  <c r="BQ23" i="27" a="1"/>
  <c r="BQ23" i="27" s="1"/>
  <c r="BQ1" i="27" s="1"/>
  <c r="BR23" i="29" a="1"/>
  <c r="BR23" i="29" s="1"/>
  <c r="BR1" i="29" s="1"/>
  <c r="BQ23" i="29" a="1"/>
  <c r="BQ23" i="29" s="1"/>
  <c r="BQ1" i="29" s="1"/>
  <c r="BS23" i="29" a="1"/>
  <c r="BS23" i="29" s="1"/>
  <c r="BS1" i="29" s="1"/>
  <c r="BA23" i="27" a="1"/>
  <c r="BA23" i="27" s="1"/>
  <c r="BA1" i="27" s="1"/>
  <c r="AZ23" i="27" a="1"/>
  <c r="AZ23" i="27" s="1"/>
  <c r="AZ1" i="27" s="1"/>
  <c r="AY23" i="27" a="1"/>
  <c r="AY23" i="27" s="1"/>
  <c r="AY1" i="27" s="1"/>
  <c r="BQ23" i="28" a="1"/>
  <c r="BQ23" i="28" s="1"/>
  <c r="BQ1" i="28" s="1"/>
  <c r="BR23" i="28" a="1"/>
  <c r="BR23" i="28" s="1"/>
  <c r="BR1" i="28" s="1"/>
  <c r="BS23" i="28" a="1"/>
  <c r="BS23" i="28" s="1"/>
  <c r="BS1" i="28" s="1"/>
  <c r="BA23" i="28" a="1"/>
  <c r="BA23" i="28" s="1"/>
  <c r="BA1" i="28" s="1"/>
  <c r="AZ23" i="28" a="1"/>
  <c r="AZ23" i="28" s="1"/>
  <c r="AZ1" i="28" s="1"/>
  <c r="AY23" i="28" a="1"/>
  <c r="AY23" i="28" s="1"/>
  <c r="AY1" i="28" s="1"/>
  <c r="BA23" i="29" a="1"/>
  <c r="BA23" i="29" s="1"/>
  <c r="BA1" i="29" s="1"/>
  <c r="AZ23" i="29" a="1"/>
  <c r="AZ23" i="29" s="1"/>
  <c r="AZ1" i="29" s="1"/>
  <c r="AY23" i="29" a="1"/>
  <c r="AY23" i="29" s="1"/>
  <c r="AY1" i="29" s="1"/>
  <c r="G18" i="24"/>
  <c r="C40" i="11"/>
  <c r="B50" i="27"/>
  <c r="B50" i="29"/>
  <c r="B50" i="14"/>
  <c r="B50" i="28"/>
  <c r="U38" i="11"/>
  <c r="B55" i="14"/>
  <c r="B55" i="29"/>
  <c r="B55" i="28"/>
  <c r="B55" i="27"/>
  <c r="AD2" i="14"/>
  <c r="AE23" i="14" s="1" a="1"/>
  <c r="AE23" i="14" s="1"/>
  <c r="AE1" i="14" s="1"/>
  <c r="AD2" i="28"/>
  <c r="AD2" i="27"/>
  <c r="AD2" i="29"/>
  <c r="AM2" i="28"/>
  <c r="AJ2" i="28"/>
  <c r="AM2" i="27"/>
  <c r="AJ2" i="27"/>
  <c r="AM2" i="29"/>
  <c r="AJ2" i="29"/>
  <c r="I11" i="11"/>
  <c r="B38" i="28"/>
  <c r="B38" i="29"/>
  <c r="B38" i="27"/>
  <c r="B38" i="14"/>
  <c r="BD106" i="26"/>
  <c r="Q114" i="26" s="1"/>
  <c r="AQ27" i="25"/>
  <c r="B89" i="13" s="1"/>
  <c r="AQ27" i="24"/>
  <c r="B60" i="13" s="1"/>
  <c r="AQ27" i="26"/>
  <c r="B118" i="13" s="1"/>
  <c r="BF2" i="29"/>
  <c r="BB2" i="29"/>
  <c r="BB2" i="27"/>
  <c r="BF2" i="28"/>
  <c r="BB2" i="28"/>
  <c r="BF2" i="27"/>
  <c r="C25" i="11"/>
  <c r="B41" i="14"/>
  <c r="B41" i="29"/>
  <c r="B41" i="28"/>
  <c r="B41" i="27"/>
  <c r="B63" i="13"/>
  <c r="B92" i="13"/>
  <c r="B121" i="13"/>
  <c r="AA2" i="29"/>
  <c r="B34" i="13"/>
  <c r="AA2" i="28"/>
  <c r="Y2" i="28"/>
  <c r="AA2" i="27"/>
  <c r="Y2" i="27"/>
  <c r="Y2" i="29"/>
  <c r="BC105" i="25" a="1"/>
  <c r="BC105" i="25" s="1"/>
  <c r="I23" i="14" a="1"/>
  <c r="I23" i="14" s="1"/>
  <c r="I1" i="14" s="1"/>
  <c r="BC105" i="24" a="1"/>
  <c r="BC105" i="24" s="1"/>
  <c r="BL2" i="28"/>
  <c r="BJ2" i="29"/>
  <c r="BJ2" i="28"/>
  <c r="BL2" i="27"/>
  <c r="BJ2" i="27"/>
  <c r="BL2" i="29"/>
  <c r="AV2" i="27"/>
  <c r="AV2" i="29"/>
  <c r="AV2" i="28"/>
  <c r="I38" i="11"/>
  <c r="B53" i="27"/>
  <c r="B53" i="14"/>
  <c r="B53" i="28"/>
  <c r="B53" i="29"/>
  <c r="I40" i="11"/>
  <c r="B52" i="28"/>
  <c r="B52" i="27"/>
  <c r="B52" i="29"/>
  <c r="B52" i="14"/>
  <c r="C34" i="11"/>
  <c r="B47" i="29"/>
  <c r="B47" i="14"/>
  <c r="B47" i="28"/>
  <c r="B47" i="27"/>
  <c r="O38" i="11"/>
  <c r="B54" i="27"/>
  <c r="B54" i="14"/>
  <c r="B54" i="29"/>
  <c r="B54" i="28"/>
  <c r="O11" i="11"/>
  <c r="B39" i="27"/>
  <c r="B39" i="28"/>
  <c r="B39" i="14"/>
  <c r="B39" i="29"/>
  <c r="BD106" i="25"/>
  <c r="Q114" i="25" s="1"/>
  <c r="C35" i="11"/>
  <c r="B48" i="29"/>
  <c r="B48" i="28"/>
  <c r="B48" i="27"/>
  <c r="B48" i="14"/>
  <c r="BC105" i="26" a="1"/>
  <c r="BC105" i="26" s="1"/>
  <c r="C26" i="11"/>
  <c r="B42" i="14"/>
  <c r="B42" i="28"/>
  <c r="B42" i="27"/>
  <c r="B42" i="29"/>
  <c r="AT25" i="24"/>
  <c r="AT25" i="25"/>
  <c r="AT22" i="25"/>
  <c r="AT24" i="25"/>
  <c r="AT23" i="25"/>
  <c r="AT23" i="26"/>
  <c r="G18" i="25"/>
  <c r="AT24" i="24"/>
  <c r="AT23" i="24"/>
  <c r="AT25" i="26"/>
  <c r="AT22" i="24"/>
  <c r="AT24" i="26"/>
  <c r="AT22" i="26"/>
  <c r="C42" i="11"/>
  <c r="B51" i="29"/>
  <c r="B51" i="28"/>
  <c r="B51" i="27"/>
  <c r="B51" i="14"/>
  <c r="AM120" i="25"/>
  <c r="AM120" i="26"/>
  <c r="AM120" i="24"/>
  <c r="U11" i="11"/>
  <c r="B40" i="27"/>
  <c r="B40" i="14"/>
  <c r="B40" i="29"/>
  <c r="B40" i="28"/>
  <c r="BD106" i="24"/>
  <c r="Q114" i="24" s="1"/>
  <c r="C38" i="11"/>
  <c r="B49" i="28"/>
  <c r="B49" i="27"/>
  <c r="B49" i="14"/>
  <c r="B49" i="29"/>
  <c r="C27" i="11"/>
  <c r="B43" i="27"/>
  <c r="B43" i="14"/>
  <c r="B43" i="28"/>
  <c r="B43" i="29"/>
  <c r="C33" i="11"/>
  <c r="B46" i="14"/>
  <c r="B46" i="29"/>
  <c r="B46" i="28"/>
  <c r="B46" i="27"/>
  <c r="B37" i="14"/>
  <c r="B37" i="29"/>
  <c r="B37" i="28"/>
  <c r="B37" i="27"/>
  <c r="AS2" i="27"/>
  <c r="AS2" i="28"/>
  <c r="AP2" i="27"/>
  <c r="AP2" i="28"/>
  <c r="AS2" i="29"/>
  <c r="AP2" i="29"/>
  <c r="BO2" i="28"/>
  <c r="BO2" i="27"/>
  <c r="BO2" i="29"/>
  <c r="G18" i="26"/>
  <c r="A131" i="9"/>
  <c r="A112" i="9"/>
  <c r="H7" i="14"/>
  <c r="F20" i="14" s="1"/>
  <c r="A145" i="9"/>
  <c r="A142" i="9"/>
  <c r="AO63" i="26"/>
  <c r="B71" i="13"/>
  <c r="E100" i="13"/>
  <c r="Q71" i="13"/>
  <c r="R71" i="13" s="1"/>
  <c r="E71" i="13"/>
  <c r="E129" i="13"/>
  <c r="Q100" i="13"/>
  <c r="R100" i="13" s="1"/>
  <c r="B100" i="13"/>
  <c r="Q129" i="13"/>
  <c r="R129" i="13" s="1"/>
  <c r="B129" i="13"/>
  <c r="A133" i="9"/>
  <c r="A122" i="9"/>
  <c r="B10" i="28"/>
  <c r="AS66" i="25"/>
  <c r="K23" i="14" a="1"/>
  <c r="K23" i="14" s="1"/>
  <c r="B22" i="27"/>
  <c r="BJ65" i="26"/>
  <c r="BJ67" i="26"/>
  <c r="AM68" i="26"/>
  <c r="BB71" i="26"/>
  <c r="BB72" i="25"/>
  <c r="AM70" i="26"/>
  <c r="AM69" i="26"/>
  <c r="B19" i="27"/>
  <c r="B9" i="28"/>
  <c r="AM69" i="24"/>
  <c r="AW63" i="26"/>
  <c r="M65" i="26" s="1"/>
  <c r="B15" i="27"/>
  <c r="B19" i="28"/>
  <c r="BJ78" i="26"/>
  <c r="B9" i="29"/>
  <c r="B22" i="28"/>
  <c r="BJ74" i="24"/>
  <c r="AM68" i="24"/>
  <c r="BB67" i="25"/>
  <c r="BJ74" i="25"/>
  <c r="B17" i="28"/>
  <c r="L23" i="14" a="1"/>
  <c r="L23" i="14" s="1"/>
  <c r="BJ71" i="25"/>
  <c r="AW63" i="25"/>
  <c r="M65" i="25" s="1"/>
  <c r="BB67" i="24"/>
  <c r="BJ76" i="24"/>
  <c r="BJ78" i="25"/>
  <c r="BB72" i="26"/>
  <c r="B11" i="29"/>
  <c r="AO63" i="25"/>
  <c r="B9" i="27"/>
  <c r="BJ77" i="24"/>
  <c r="AM67" i="24"/>
  <c r="BJ71" i="26"/>
  <c r="B10" i="27"/>
  <c r="B15" i="29"/>
  <c r="B17" i="27"/>
  <c r="AM67" i="26"/>
  <c r="BB71" i="24"/>
  <c r="BJ73" i="25"/>
  <c r="BJ75" i="24"/>
  <c r="AM68" i="25"/>
  <c r="AO64" i="26"/>
  <c r="BJ76" i="26"/>
  <c r="B16" i="29"/>
  <c r="AL65" i="26"/>
  <c r="BB67" i="26"/>
  <c r="BB66" i="26"/>
  <c r="AL65" i="25"/>
  <c r="BJ74" i="26"/>
  <c r="BB71" i="25"/>
  <c r="AO64" i="25"/>
  <c r="B18" i="27"/>
  <c r="BB68" i="26"/>
  <c r="AL114" i="25"/>
  <c r="BB66" i="24"/>
  <c r="BJ75" i="26"/>
  <c r="BJ65" i="25"/>
  <c r="BJ66" i="26"/>
  <c r="B22" i="29"/>
  <c r="BJ77" i="25"/>
  <c r="BJ75" i="25"/>
  <c r="BJ77" i="26"/>
  <c r="B18" i="28"/>
  <c r="B11" i="27"/>
  <c r="AY112" i="25"/>
  <c r="AL113" i="25" s="1"/>
  <c r="Q112" i="25" s="1"/>
  <c r="AL114" i="26"/>
  <c r="A55" i="9"/>
  <c r="AT27" i="25"/>
  <c r="AT29" i="24"/>
  <c r="AT30" i="26"/>
  <c r="AT30" i="24"/>
  <c r="AT28" i="24"/>
  <c r="AT29" i="26"/>
  <c r="AT30" i="25"/>
  <c r="AT27" i="24"/>
  <c r="AT27" i="26"/>
  <c r="AT29" i="25"/>
  <c r="AT28" i="26"/>
  <c r="AT28" i="25"/>
  <c r="AM67" i="1"/>
  <c r="AL73" i="25"/>
  <c r="AL74" i="25" s="1"/>
  <c r="AL73" i="24"/>
  <c r="AL74" i="24" s="1"/>
  <c r="Q42" i="13"/>
  <c r="R42" i="13" s="1"/>
  <c r="AL38" i="24"/>
  <c r="AL38" i="26"/>
  <c r="AL73" i="26"/>
  <c r="AL74" i="26" s="1"/>
  <c r="AN71" i="24"/>
  <c r="E42" i="13"/>
  <c r="B42" i="13"/>
  <c r="AN71" i="25"/>
  <c r="AN71" i="26"/>
  <c r="AL38" i="25"/>
  <c r="A101" i="25"/>
  <c r="B101" i="25" s="1"/>
  <c r="A101" i="24"/>
  <c r="B101" i="24" s="1"/>
  <c r="A101" i="26"/>
  <c r="B101" i="26" s="1"/>
  <c r="B21" i="29"/>
  <c r="AW63" i="24"/>
  <c r="M65" i="24" s="1"/>
  <c r="AM69" i="25"/>
  <c r="BJ73" i="26"/>
  <c r="BJ72" i="24"/>
  <c r="B17" i="29"/>
  <c r="BJ72" i="26"/>
  <c r="BJ66" i="24"/>
  <c r="BB68" i="24"/>
  <c r="BJ67" i="25"/>
  <c r="BJ67" i="24"/>
  <c r="M23" i="27" a="1"/>
  <c r="M23" i="27" s="1"/>
  <c r="M1" i="27" s="1"/>
  <c r="N23" i="27" a="1"/>
  <c r="N23" i="27" s="1"/>
  <c r="N1" i="27" s="1"/>
  <c r="O23" i="27" a="1"/>
  <c r="O23" i="27" s="1"/>
  <c r="O1" i="27" s="1"/>
  <c r="L23" i="27" a="1"/>
  <c r="L23" i="27" s="1"/>
  <c r="L1" i="27" s="1"/>
  <c r="K23" i="27" a="1"/>
  <c r="K23" i="27" s="1"/>
  <c r="K1" i="27" s="1"/>
  <c r="I23" i="27" a="1"/>
  <c r="I23" i="27" s="1"/>
  <c r="J23" i="27" a="1"/>
  <c r="J23" i="27" s="1"/>
  <c r="H7" i="28"/>
  <c r="G7" i="28"/>
  <c r="O23" i="28" a="1"/>
  <c r="O23" i="28" s="1"/>
  <c r="O1" i="28" s="1"/>
  <c r="N23" i="28" a="1"/>
  <c r="N23" i="28" s="1"/>
  <c r="M23" i="28" a="1"/>
  <c r="M23" i="28" s="1"/>
  <c r="L23" i="29" a="1"/>
  <c r="L23" i="29" s="1"/>
  <c r="L1" i="29" s="1"/>
  <c r="K23" i="29" a="1"/>
  <c r="K23" i="29" s="1"/>
  <c r="K1" i="29" s="1"/>
  <c r="J23" i="29" a="1"/>
  <c r="J23" i="29" s="1"/>
  <c r="J1" i="29" s="1"/>
  <c r="I23" i="29" a="1"/>
  <c r="I23" i="29" s="1"/>
  <c r="A144" i="9"/>
  <c r="S23" i="29" a="1"/>
  <c r="S23" i="29" s="1"/>
  <c r="V23" i="29" a="1"/>
  <c r="V23" i="29" s="1"/>
  <c r="V1" i="29" s="1"/>
  <c r="U23" i="29" a="1"/>
  <c r="U23" i="29" s="1"/>
  <c r="T23" i="29" a="1"/>
  <c r="T23" i="29" s="1"/>
  <c r="P23" i="28" a="1"/>
  <c r="P23" i="28" s="1"/>
  <c r="P1" i="28" s="1"/>
  <c r="R23" i="28" a="1"/>
  <c r="R23" i="28" s="1"/>
  <c r="R1" i="28" s="1"/>
  <c r="Q23" i="28" a="1"/>
  <c r="Q23" i="28" s="1"/>
  <c r="Q1" i="28" s="1"/>
  <c r="B20" i="29"/>
  <c r="B15" i="28"/>
  <c r="B20" i="27"/>
  <c r="B21" i="27"/>
  <c r="BJ66" i="25"/>
  <c r="BB68" i="25"/>
  <c r="AS66" i="26"/>
  <c r="AM67" i="25"/>
  <c r="BJ65" i="24"/>
  <c r="K23" i="28" a="1"/>
  <c r="K23" i="28" s="1"/>
  <c r="K1" i="28" s="1"/>
  <c r="L23" i="28" a="1"/>
  <c r="L23" i="28" s="1"/>
  <c r="L1" i="28" s="1"/>
  <c r="J23" i="28" a="1"/>
  <c r="J23" i="28" s="1"/>
  <c r="J1" i="28" s="1"/>
  <c r="I23" i="28" a="1"/>
  <c r="I23" i="28" s="1"/>
  <c r="BJ72" i="25"/>
  <c r="AM70" i="24"/>
  <c r="B20" i="28"/>
  <c r="B21" i="28"/>
  <c r="B11" i="28"/>
  <c r="AY112" i="24"/>
  <c r="G7" i="27"/>
  <c r="H7" i="27"/>
  <c r="X23" i="28" a="1"/>
  <c r="X23" i="28" s="1"/>
  <c r="X1" i="28" s="1"/>
  <c r="W23" i="28" a="1"/>
  <c r="W23" i="28" s="1"/>
  <c r="W1" i="28" s="1"/>
  <c r="AY112" i="26"/>
  <c r="R23" i="27" a="1"/>
  <c r="R23" i="27" s="1"/>
  <c r="R1" i="27" s="1"/>
  <c r="Q23" i="27" a="1"/>
  <c r="Q23" i="27" s="1"/>
  <c r="Q1" i="27" s="1"/>
  <c r="P23" i="27" a="1"/>
  <c r="P23" i="27" s="1"/>
  <c r="P1" i="27" s="1"/>
  <c r="BB66" i="25"/>
  <c r="AO64" i="24"/>
  <c r="B16" i="27"/>
  <c r="BB72" i="24"/>
  <c r="B18" i="29"/>
  <c r="B19" i="29"/>
  <c r="B10" i="29"/>
  <c r="AL65" i="24"/>
  <c r="H7" i="29"/>
  <c r="G7" i="29"/>
  <c r="X23" i="29" a="1"/>
  <c r="X23" i="29" s="1"/>
  <c r="X1" i="29" s="1"/>
  <c r="W23" i="29" a="1"/>
  <c r="W23" i="29" s="1"/>
  <c r="W1" i="29" s="1"/>
  <c r="X23" i="27" a="1"/>
  <c r="X23" i="27" s="1"/>
  <c r="X1" i="27" s="1"/>
  <c r="W23" i="27" a="1"/>
  <c r="W23" i="27" s="1"/>
  <c r="W1" i="27" s="1"/>
  <c r="U23" i="27" a="1"/>
  <c r="U23" i="27" s="1"/>
  <c r="U1" i="27" s="1"/>
  <c r="V23" i="27" a="1"/>
  <c r="V23" i="27" s="1"/>
  <c r="V1" i="27" s="1"/>
  <c r="T23" i="27" a="1"/>
  <c r="T23" i="27" s="1"/>
  <c r="T1" i="27" s="1"/>
  <c r="S23" i="27" a="1"/>
  <c r="S23" i="27" s="1"/>
  <c r="S1" i="27" s="1"/>
  <c r="BJ76" i="25"/>
  <c r="BJ71" i="24"/>
  <c r="BJ73" i="24"/>
  <c r="BJ78" i="24"/>
  <c r="B16" i="28"/>
  <c r="AM70" i="25"/>
  <c r="AO63" i="24"/>
  <c r="R23" i="29" a="1"/>
  <c r="R23" i="29" s="1"/>
  <c r="R1" i="29" s="1"/>
  <c r="Q23" i="29" a="1"/>
  <c r="Q23" i="29" s="1"/>
  <c r="Q1" i="29" s="1"/>
  <c r="P23" i="29" a="1"/>
  <c r="P23" i="29" s="1"/>
  <c r="P1" i="29" s="1"/>
  <c r="T23" i="28" a="1"/>
  <c r="T23" i="28" s="1"/>
  <c r="U23" i="28" a="1"/>
  <c r="U23" i="28" s="1"/>
  <c r="V23" i="28" a="1"/>
  <c r="V23" i="28" s="1"/>
  <c r="V1" i="28" s="1"/>
  <c r="S23" i="28" a="1"/>
  <c r="S23" i="28" s="1"/>
  <c r="G18" i="1"/>
  <c r="B16" i="14"/>
  <c r="A120" i="9"/>
  <c r="BJ74" i="1"/>
  <c r="AY112" i="1"/>
  <c r="A124" i="9"/>
  <c r="A154" i="9"/>
  <c r="A137" i="9"/>
  <c r="A141" i="9"/>
  <c r="A123" i="9"/>
  <c r="BB67" i="1"/>
  <c r="AL38" i="1"/>
  <c r="R10" i="3"/>
  <c r="BJ66" i="1"/>
  <c r="B3" i="5"/>
  <c r="BB72" i="1"/>
  <c r="BB66" i="1"/>
  <c r="B17" i="14"/>
  <c r="BJ71" i="1"/>
  <c r="R11" i="3"/>
  <c r="BJ77" i="1"/>
  <c r="A150" i="9"/>
  <c r="BB71" i="1"/>
  <c r="O23" i="14" a="1"/>
  <c r="O23" i="14" s="1"/>
  <c r="AF23" i="14" a="1"/>
  <c r="AF23" i="14" s="1"/>
  <c r="AF1" i="14" s="1"/>
  <c r="AT25" i="1"/>
  <c r="AT24" i="1"/>
  <c r="AT23" i="1"/>
  <c r="AT22" i="1"/>
  <c r="AL115" i="1"/>
  <c r="AL114" i="1" s="1"/>
  <c r="M23" i="14" a="1"/>
  <c r="M23" i="14" s="1"/>
  <c r="M1" i="14" s="1"/>
  <c r="N1" i="14" s="1"/>
  <c r="BJ78" i="1"/>
  <c r="B20" i="14"/>
  <c r="AL65" i="1"/>
  <c r="B9" i="14"/>
  <c r="B15" i="14"/>
  <c r="B19" i="14"/>
  <c r="B18" i="14"/>
  <c r="AO63" i="1"/>
  <c r="AL73" i="1"/>
  <c r="AL74" i="1" s="1"/>
  <c r="B11" i="14"/>
  <c r="BJ65" i="1"/>
  <c r="BJ75" i="1"/>
  <c r="AO64" i="1"/>
  <c r="A126" i="9"/>
  <c r="BJ72" i="1"/>
  <c r="BB68" i="1"/>
  <c r="AM69" i="1"/>
  <c r="B21" i="14"/>
  <c r="BJ67" i="1"/>
  <c r="AN71" i="1"/>
  <c r="AW70" i="1" s="1"/>
  <c r="B13" i="5"/>
  <c r="AW63" i="1"/>
  <c r="M65" i="1" s="1"/>
  <c r="R9" i="3"/>
  <c r="BJ73" i="1"/>
  <c r="AM70" i="1"/>
  <c r="AM68" i="1"/>
  <c r="B10" i="14"/>
  <c r="B22" i="14"/>
  <c r="BJ76" i="1"/>
  <c r="A134" i="9"/>
  <c r="A148" i="9"/>
  <c r="A127" i="9"/>
  <c r="A138" i="9"/>
  <c r="A121" i="9"/>
  <c r="A147" i="9"/>
  <c r="T23" i="14" a="1"/>
  <c r="T23" i="14" s="1"/>
  <c r="V23" i="14" a="1"/>
  <c r="V23" i="14" s="1"/>
  <c r="U23" i="14" a="1"/>
  <c r="U23" i="14" s="1"/>
  <c r="S23" i="14" a="1"/>
  <c r="S23" i="14" s="1"/>
  <c r="A139" i="9"/>
  <c r="A119" i="9"/>
  <c r="BD106" i="1"/>
  <c r="BC112" i="1" s="1"/>
  <c r="A107" i="9"/>
  <c r="A118" i="9"/>
  <c r="A109" i="9"/>
  <c r="A114" i="9"/>
  <c r="A143" i="9"/>
  <c r="R44" i="13"/>
  <c r="U44" i="13"/>
  <c r="A149" i="9"/>
  <c r="BC105" i="1" a="1"/>
  <c r="BC105" i="1" s="1"/>
  <c r="A152" i="9"/>
  <c r="A140" i="9"/>
  <c r="A113" i="9"/>
  <c r="A129" i="9"/>
  <c r="A135" i="9"/>
  <c r="BL2" i="14"/>
  <c r="BJ2" i="14"/>
  <c r="AV2" i="14"/>
  <c r="O103" i="11"/>
  <c r="AM120" i="1"/>
  <c r="A115" i="9"/>
  <c r="C11" i="11"/>
  <c r="AP2" i="14"/>
  <c r="I103" i="11"/>
  <c r="AS2" i="14"/>
  <c r="BO2" i="14"/>
  <c r="O119" i="11"/>
  <c r="F221" i="9"/>
  <c r="E220" i="9"/>
  <c r="E221" i="9"/>
  <c r="F220" i="9"/>
  <c r="AQ27" i="1"/>
  <c r="B31" i="13" s="1"/>
  <c r="AM2" i="14"/>
  <c r="AJ2" i="14"/>
  <c r="C103" i="11"/>
  <c r="A3" i="9"/>
  <c r="BF2" i="14"/>
  <c r="F119" i="11"/>
  <c r="U103" i="11"/>
  <c r="BB2" i="14"/>
  <c r="F198" i="9"/>
  <c r="E196" i="9"/>
  <c r="F199" i="9"/>
  <c r="E197" i="9"/>
  <c r="F200" i="9"/>
  <c r="E198" i="9"/>
  <c r="E191" i="9"/>
  <c r="F201" i="9"/>
  <c r="E199" i="9"/>
  <c r="F202" i="9"/>
  <c r="E200" i="9"/>
  <c r="F205" i="9"/>
  <c r="F203" i="9"/>
  <c r="E201" i="9"/>
  <c r="E204" i="9"/>
  <c r="F192" i="9"/>
  <c r="F204" i="9"/>
  <c r="E202" i="9"/>
  <c r="F193" i="9"/>
  <c r="F191" i="9"/>
  <c r="E203" i="9"/>
  <c r="F194" i="9"/>
  <c r="E192" i="9"/>
  <c r="E205" i="9"/>
  <c r="F195" i="9"/>
  <c r="E193" i="9"/>
  <c r="F196" i="9"/>
  <c r="F197" i="9"/>
  <c r="E194" i="9"/>
  <c r="E195" i="9"/>
  <c r="Y2" i="14"/>
  <c r="AA2" i="14"/>
  <c r="A130" i="9"/>
  <c r="A146" i="9"/>
  <c r="A132" i="9"/>
  <c r="A136" i="9"/>
  <c r="AT29" i="1"/>
  <c r="AT27" i="1"/>
  <c r="AT30" i="1"/>
  <c r="AT28" i="1"/>
  <c r="A101" i="1"/>
  <c r="B101" i="1" s="1"/>
  <c r="E121" i="13" l="1"/>
  <c r="D121" i="13"/>
  <c r="Q121" i="13" s="1"/>
  <c r="E34" i="13"/>
  <c r="D34" i="13"/>
  <c r="D92" i="13"/>
  <c r="Q92" i="13" s="1"/>
  <c r="E92" i="13"/>
  <c r="E63" i="13"/>
  <c r="D63" i="13"/>
  <c r="Q63" i="13" s="1"/>
  <c r="E118" i="13"/>
  <c r="D118" i="13"/>
  <c r="Q118" i="13" s="1"/>
  <c r="E31" i="13"/>
  <c r="D31" i="13"/>
  <c r="Q31" i="13" s="1"/>
  <c r="E89" i="13"/>
  <c r="D89" i="13"/>
  <c r="Q89" i="13" s="1"/>
  <c r="B33" i="13"/>
  <c r="E60" i="13"/>
  <c r="D60" i="13"/>
  <c r="Q60" i="13" s="1"/>
  <c r="E120" i="13"/>
  <c r="D120" i="13"/>
  <c r="Q120" i="13" s="1"/>
  <c r="B91" i="13"/>
  <c r="B62" i="13"/>
  <c r="A103" i="28"/>
  <c r="A103" i="14"/>
  <c r="A103" i="27"/>
  <c r="A103" i="29"/>
  <c r="A84" i="27"/>
  <c r="A84" i="29"/>
  <c r="A84" i="28"/>
  <c r="AM104" i="25" s="1"/>
  <c r="A84" i="14"/>
  <c r="C78" i="11"/>
  <c r="BQ23" i="14" a="1"/>
  <c r="BQ23" i="14" s="1"/>
  <c r="BR23" i="14" a="1"/>
  <c r="BR23" i="14" s="1"/>
  <c r="BC112" i="26"/>
  <c r="C116" i="24"/>
  <c r="C118" i="24" s="1"/>
  <c r="BC111" i="24"/>
  <c r="BC112" i="24"/>
  <c r="BC111" i="26"/>
  <c r="AD23" i="14" a="1"/>
  <c r="AD23" i="14" s="1"/>
  <c r="AD1" i="14" s="1"/>
  <c r="Q34" i="13"/>
  <c r="R34" i="13" s="1"/>
  <c r="B23" i="14"/>
  <c r="Z23" i="14" s="1" a="1"/>
  <c r="Z23" i="14" s="1"/>
  <c r="B23" i="29"/>
  <c r="B23" i="28"/>
  <c r="E23" i="28" s="1" a="1"/>
  <c r="E23" i="28" s="1"/>
  <c r="O100" i="13" s="1"/>
  <c r="T100" i="13" s="1"/>
  <c r="U100" i="13" s="1"/>
  <c r="B23" i="27"/>
  <c r="E23" i="27" s="1" a="1"/>
  <c r="E23" i="27" s="1"/>
  <c r="O71" i="13" s="1"/>
  <c r="T71" i="13" s="1"/>
  <c r="F48" i="29"/>
  <c r="A48" i="29" s="1"/>
  <c r="BC111" i="25"/>
  <c r="BC112" i="25"/>
  <c r="BO23" i="29" a="1"/>
  <c r="BO23" i="29" s="1"/>
  <c r="BP23" i="29" a="1"/>
  <c r="BP23" i="29" s="1"/>
  <c r="BM23" i="27" a="1"/>
  <c r="BM23" i="27" s="1"/>
  <c r="BM1" i="27" s="1"/>
  <c r="BL23" i="27" a="1"/>
  <c r="BL23" i="27" s="1"/>
  <c r="BL1" i="27" s="1"/>
  <c r="BN23" i="27" a="1"/>
  <c r="BN23" i="27" s="1"/>
  <c r="BN1" i="27" s="1"/>
  <c r="AA23" i="28" a="1"/>
  <c r="AA23" i="28" s="1"/>
  <c r="AA1" i="28" s="1"/>
  <c r="AB23" i="28" a="1"/>
  <c r="AB23" i="28" s="1"/>
  <c r="AB1" i="28" s="1"/>
  <c r="AC23" i="28" a="1"/>
  <c r="AC23" i="28" s="1"/>
  <c r="AC1" i="28" s="1"/>
  <c r="BE23" i="28" a="1"/>
  <c r="BE23" i="28" s="1"/>
  <c r="BE1" i="28" s="1"/>
  <c r="BD23" i="28" a="1"/>
  <c r="BD23" i="28" s="1"/>
  <c r="BD1" i="28" s="1"/>
  <c r="BC23" i="28" a="1"/>
  <c r="BC23" i="28" s="1"/>
  <c r="BC1" i="28" s="1"/>
  <c r="BB23" i="28" a="1"/>
  <c r="BB23" i="28" s="1"/>
  <c r="BB1" i="28" s="1"/>
  <c r="BO23" i="27" a="1"/>
  <c r="BO23" i="27" s="1"/>
  <c r="BO1" i="27" s="1"/>
  <c r="BP23" i="27" a="1"/>
  <c r="BP23" i="27" s="1"/>
  <c r="BP1" i="27" s="1"/>
  <c r="G20" i="25"/>
  <c r="AU21" i="25"/>
  <c r="BK23" i="28" a="1"/>
  <c r="BK23" i="28" s="1"/>
  <c r="BK1" i="28" s="1"/>
  <c r="BJ23" i="28" a="1"/>
  <c r="BJ23" i="28" s="1"/>
  <c r="BJ1" i="28" s="1"/>
  <c r="BG23" i="28" a="1"/>
  <c r="BG23" i="28" s="1"/>
  <c r="BG1" i="28" s="1"/>
  <c r="BF23" i="28" a="1"/>
  <c r="BF23" i="28" s="1"/>
  <c r="BF1" i="28" s="1"/>
  <c r="BI23" i="28" a="1"/>
  <c r="BI23" i="28" s="1"/>
  <c r="BI1" i="28" s="1"/>
  <c r="BH23" i="28" a="1"/>
  <c r="BH23" i="28" s="1"/>
  <c r="BH1" i="28" s="1"/>
  <c r="BP23" i="28" a="1"/>
  <c r="BP23" i="28" s="1"/>
  <c r="BP1" i="28" s="1"/>
  <c r="BO23" i="28" a="1"/>
  <c r="BO23" i="28" s="1"/>
  <c r="BO1" i="28" s="1"/>
  <c r="BK23" i="29" a="1"/>
  <c r="BK23" i="29" s="1"/>
  <c r="BK1" i="29" s="1"/>
  <c r="BJ23" i="29" a="1"/>
  <c r="BJ23" i="29" s="1"/>
  <c r="BJ1" i="29" s="1"/>
  <c r="AA23" i="29" a="1"/>
  <c r="AA23" i="29" s="1"/>
  <c r="AA1" i="29" s="1"/>
  <c r="AC23" i="29" a="1"/>
  <c r="AC23" i="29" s="1"/>
  <c r="AC1" i="29" s="1"/>
  <c r="AB23" i="29" a="1"/>
  <c r="AB23" i="29" s="1"/>
  <c r="AB1" i="29" s="1"/>
  <c r="BB23" i="27" a="1"/>
  <c r="BB23" i="27" s="1"/>
  <c r="BB1" i="27" s="1"/>
  <c r="BC23" i="27" a="1"/>
  <c r="BC23" i="27" s="1"/>
  <c r="BC1" i="27" s="1"/>
  <c r="BE23" i="27" a="1"/>
  <c r="BE23" i="27" s="1"/>
  <c r="BE1" i="27" s="1"/>
  <c r="BD23" i="27" a="1"/>
  <c r="BD23" i="27" s="1"/>
  <c r="BD1" i="27" s="1"/>
  <c r="AL23" i="29" a="1"/>
  <c r="AL23" i="29" s="1"/>
  <c r="AL1" i="29" s="1"/>
  <c r="AK23" i="29" a="1"/>
  <c r="AK23" i="29" s="1"/>
  <c r="AK1" i="29" s="1"/>
  <c r="AJ23" i="29" a="1"/>
  <c r="AJ23" i="29" s="1"/>
  <c r="AJ1" i="29" s="1"/>
  <c r="AQ23" i="29" a="1"/>
  <c r="AQ23" i="29" s="1"/>
  <c r="AQ1" i="29" s="1"/>
  <c r="AP23" i="29" a="1"/>
  <c r="AP23" i="29" s="1"/>
  <c r="AP1" i="29" s="1"/>
  <c r="AR23" i="29" a="1"/>
  <c r="AR23" i="29" s="1"/>
  <c r="AR1" i="29" s="1"/>
  <c r="G20" i="26"/>
  <c r="AU21" i="26"/>
  <c r="BN23" i="28" a="1"/>
  <c r="BN23" i="28" s="1"/>
  <c r="BN1" i="28" s="1"/>
  <c r="BM23" i="28" a="1"/>
  <c r="BM23" i="28" s="1"/>
  <c r="BM1" i="28" s="1"/>
  <c r="BL23" i="28" a="1"/>
  <c r="BL23" i="28" s="1"/>
  <c r="BL1" i="28" s="1"/>
  <c r="BB23" i="29" a="1"/>
  <c r="BB23" i="29" s="1"/>
  <c r="BB1" i="29" s="1"/>
  <c r="BC23" i="29" a="1"/>
  <c r="BC23" i="29" s="1"/>
  <c r="BC1" i="29" s="1"/>
  <c r="BE23" i="29" a="1"/>
  <c r="BE23" i="29" s="1"/>
  <c r="BE1" i="29" s="1"/>
  <c r="BD23" i="29" a="1"/>
  <c r="BD23" i="29" s="1"/>
  <c r="BD1" i="29" s="1"/>
  <c r="AO23" i="29" a="1"/>
  <c r="AO23" i="29" s="1"/>
  <c r="AO1" i="29" s="1"/>
  <c r="AN23" i="29" a="1"/>
  <c r="AN23" i="29" s="1"/>
  <c r="AN1" i="29" s="1"/>
  <c r="AM23" i="29" a="1"/>
  <c r="AM23" i="29" s="1"/>
  <c r="AM1" i="29" s="1"/>
  <c r="AU23" i="29" a="1"/>
  <c r="AU23" i="29" s="1"/>
  <c r="AU1" i="29" s="1"/>
  <c r="AT23" i="29" a="1"/>
  <c r="AT23" i="29" s="1"/>
  <c r="AT1" i="29" s="1"/>
  <c r="AS23" i="29" a="1"/>
  <c r="AS23" i="29" s="1"/>
  <c r="AS1" i="29" s="1"/>
  <c r="BI23" i="29" a="1"/>
  <c r="BI23" i="29" s="1"/>
  <c r="BI1" i="29" s="1"/>
  <c r="BH23" i="29" a="1"/>
  <c r="BH23" i="29" s="1"/>
  <c r="BH1" i="29" s="1"/>
  <c r="BG23" i="29" a="1"/>
  <c r="BG23" i="29" s="1"/>
  <c r="BG1" i="29" s="1"/>
  <c r="BF23" i="29" a="1"/>
  <c r="BF23" i="29" s="1"/>
  <c r="BF1" i="29" s="1"/>
  <c r="AL23" i="27" a="1"/>
  <c r="AL23" i="27" s="1"/>
  <c r="AL1" i="27" s="1"/>
  <c r="AK23" i="27" a="1"/>
  <c r="AK23" i="27" s="1"/>
  <c r="AJ23" i="27" a="1"/>
  <c r="AJ23" i="27" s="1"/>
  <c r="AJ1" i="27" s="1"/>
  <c r="AR23" i="28" a="1"/>
  <c r="AR23" i="28" s="1"/>
  <c r="AR1" i="28" s="1"/>
  <c r="AQ23" i="28" a="1"/>
  <c r="AQ23" i="28" s="1"/>
  <c r="AQ1" i="28" s="1"/>
  <c r="AP23" i="28" a="1"/>
  <c r="AP23" i="28" s="1"/>
  <c r="AP1" i="28" s="1"/>
  <c r="G20" i="24"/>
  <c r="AU21" i="24"/>
  <c r="AM23" i="27" a="1"/>
  <c r="AM23" i="27" s="1"/>
  <c r="AM1" i="27" s="1"/>
  <c r="AN23" i="27" a="1"/>
  <c r="AN23" i="27" s="1"/>
  <c r="AN1" i="27" s="1"/>
  <c r="AO23" i="27" a="1"/>
  <c r="AO23" i="27" s="1"/>
  <c r="AO1" i="27" s="1"/>
  <c r="AJ23" i="28" a="1"/>
  <c r="AJ23" i="28" s="1"/>
  <c r="AJ1" i="28" s="1"/>
  <c r="AK23" i="28" a="1"/>
  <c r="AK23" i="28" s="1"/>
  <c r="AK1" i="28" s="1"/>
  <c r="AL23" i="28" a="1"/>
  <c r="AL23" i="28" s="1"/>
  <c r="AL1" i="28" s="1"/>
  <c r="AU23" i="28" a="1"/>
  <c r="AU23" i="28" s="1"/>
  <c r="AU1" i="28" s="1"/>
  <c r="AT23" i="28" a="1"/>
  <c r="AT23" i="28" s="1"/>
  <c r="AT1" i="28" s="1"/>
  <c r="AS23" i="28" a="1"/>
  <c r="AS23" i="28" s="1"/>
  <c r="AS1" i="28" s="1"/>
  <c r="F37" i="27"/>
  <c r="F46" i="27"/>
  <c r="AM122" i="24"/>
  <c r="AW23" i="28" a="1"/>
  <c r="AW23" i="28" s="1"/>
  <c r="AW1" i="28" s="1"/>
  <c r="AX23" i="28" a="1"/>
  <c r="AX23" i="28" s="1"/>
  <c r="AX1" i="28" s="1"/>
  <c r="AV23" i="28" a="1"/>
  <c r="AV23" i="28" s="1"/>
  <c r="AV1" i="28" s="1"/>
  <c r="AO23" i="28" a="1"/>
  <c r="AO23" i="28" s="1"/>
  <c r="AO1" i="28" s="1"/>
  <c r="AN23" i="28" a="1"/>
  <c r="AN23" i="28" s="1"/>
  <c r="AN1" i="28" s="1"/>
  <c r="AM23" i="28" a="1"/>
  <c r="AM23" i="28" s="1"/>
  <c r="AM1" i="28" s="1"/>
  <c r="AQ22" i="1"/>
  <c r="B28" i="13" s="1"/>
  <c r="AQ22" i="26"/>
  <c r="AQ22" i="25"/>
  <c r="AQ22" i="24"/>
  <c r="AU23" i="27" a="1"/>
  <c r="AU23" i="27" s="1"/>
  <c r="AU1" i="27" s="1"/>
  <c r="AT23" i="27" a="1"/>
  <c r="AT23" i="27" s="1"/>
  <c r="AT1" i="27" s="1"/>
  <c r="AS23" i="27" a="1"/>
  <c r="AS23" i="27" s="1"/>
  <c r="AS1" i="27" s="1"/>
  <c r="AM122" i="26"/>
  <c r="F46" i="29"/>
  <c r="A46" i="29" s="1"/>
  <c r="F37" i="29"/>
  <c r="A37" i="29" s="1"/>
  <c r="F38" i="29"/>
  <c r="A38" i="29" s="1"/>
  <c r="F47" i="29"/>
  <c r="A47" i="29" s="1"/>
  <c r="F39" i="29"/>
  <c r="A39" i="29" s="1"/>
  <c r="AX23" i="29" a="1"/>
  <c r="AX23" i="29" s="1"/>
  <c r="AW23" i="29" a="1"/>
  <c r="AW23" i="29" s="1"/>
  <c r="AV23" i="29" a="1"/>
  <c r="AV23" i="29" s="1"/>
  <c r="Z23" i="29" a="1"/>
  <c r="Z23" i="29" s="1"/>
  <c r="Z1" i="29" s="1"/>
  <c r="Y23" i="29" a="1"/>
  <c r="Y23" i="29" s="1"/>
  <c r="Y1" i="29" s="1"/>
  <c r="AF23" i="29" a="1"/>
  <c r="AF23" i="29" s="1"/>
  <c r="AF1" i="29" s="1"/>
  <c r="AE23" i="29" a="1"/>
  <c r="AE23" i="29" s="1"/>
  <c r="AE1" i="29" s="1"/>
  <c r="AD23" i="29" a="1"/>
  <c r="AD23" i="29" s="1"/>
  <c r="AD1" i="29" s="1"/>
  <c r="AM122" i="25"/>
  <c r="F37" i="28"/>
  <c r="A37" i="28" s="1"/>
  <c r="F46" i="28"/>
  <c r="F38" i="28"/>
  <c r="A38" i="28" s="1"/>
  <c r="F39" i="28"/>
  <c r="AX23" i="27" a="1"/>
  <c r="AX23" i="27" s="1"/>
  <c r="AX1" i="27" s="1"/>
  <c r="AW23" i="27" a="1"/>
  <c r="AW23" i="27" s="1"/>
  <c r="AW1" i="27" s="1"/>
  <c r="AV23" i="27" a="1"/>
  <c r="AV23" i="27" s="1"/>
  <c r="AV1" i="27" s="1"/>
  <c r="Z23" i="27" a="1"/>
  <c r="Z23" i="27" s="1"/>
  <c r="Z1" i="27" s="1"/>
  <c r="Y23" i="27" a="1"/>
  <c r="Y23" i="27" s="1"/>
  <c r="Y1" i="27" s="1"/>
  <c r="AE23" i="27" a="1"/>
  <c r="AE23" i="27" s="1"/>
  <c r="AF23" i="27" a="1"/>
  <c r="AF23" i="27" s="1"/>
  <c r="AF1" i="27" s="1"/>
  <c r="AD23" i="27" a="1"/>
  <c r="AD23" i="27" s="1"/>
  <c r="BM23" i="29" a="1"/>
  <c r="BM23" i="29" s="1"/>
  <c r="BM1" i="29" s="1"/>
  <c r="BL23" i="29" a="1"/>
  <c r="BL23" i="29" s="1"/>
  <c r="BL1" i="29" s="1"/>
  <c r="BN23" i="29" a="1"/>
  <c r="BN23" i="29" s="1"/>
  <c r="BN1" i="29" s="1"/>
  <c r="AB23" i="27" a="1"/>
  <c r="AB23" i="27" s="1"/>
  <c r="AB1" i="27" s="1"/>
  <c r="AA23" i="27" a="1"/>
  <c r="AA23" i="27" s="1"/>
  <c r="AA1" i="27" s="1"/>
  <c r="AC23" i="27" a="1"/>
  <c r="AC23" i="27" s="1"/>
  <c r="AC1" i="27" s="1"/>
  <c r="AE23" i="28" a="1"/>
  <c r="AE23" i="28" s="1"/>
  <c r="AE1" i="28" s="1"/>
  <c r="AD23" i="28" a="1"/>
  <c r="AD23" i="28" s="1"/>
  <c r="AD1" i="28" s="1"/>
  <c r="AF23" i="28" a="1"/>
  <c r="AF23" i="28" s="1"/>
  <c r="AF1" i="28" s="1"/>
  <c r="BK23" i="27" a="1"/>
  <c r="BK23" i="27" s="1"/>
  <c r="BK1" i="27" s="1"/>
  <c r="BJ23" i="27" a="1"/>
  <c r="BJ23" i="27" s="1"/>
  <c r="BJ1" i="27" s="1"/>
  <c r="Z23" i="28" a="1"/>
  <c r="Z23" i="28" s="1"/>
  <c r="Z1" i="28" s="1"/>
  <c r="Y23" i="28" a="1"/>
  <c r="Y23" i="28" s="1"/>
  <c r="Y1" i="28" s="1"/>
  <c r="BI23" i="27" a="1"/>
  <c r="BI23" i="27" s="1"/>
  <c r="BI1" i="27" s="1"/>
  <c r="BH23" i="27" a="1"/>
  <c r="BH23" i="27" s="1"/>
  <c r="BH1" i="27" s="1"/>
  <c r="BG23" i="27" a="1"/>
  <c r="BG23" i="27" s="1"/>
  <c r="BG1" i="27" s="1"/>
  <c r="BF23" i="27" a="1"/>
  <c r="BF23" i="27" s="1"/>
  <c r="BF1" i="27" s="1"/>
  <c r="F11" i="14"/>
  <c r="F18" i="14"/>
  <c r="F21" i="14"/>
  <c r="F15" i="14"/>
  <c r="F14" i="14"/>
  <c r="F17" i="14"/>
  <c r="F13" i="14"/>
  <c r="F9" i="14"/>
  <c r="F12" i="14"/>
  <c r="F7" i="14"/>
  <c r="F10" i="14"/>
  <c r="F16" i="14"/>
  <c r="F8" i="14"/>
  <c r="F22" i="14"/>
  <c r="F19" i="14"/>
  <c r="AN66" i="24"/>
  <c r="AS72" i="24" s="1"/>
  <c r="AS66" i="24" s="1"/>
  <c r="F37" i="14"/>
  <c r="F46" i="14"/>
  <c r="AM60" i="25"/>
  <c r="AM60" i="24"/>
  <c r="AM61" i="26"/>
  <c r="AM61" i="24"/>
  <c r="AN66" i="26"/>
  <c r="AW74" i="26" s="1"/>
  <c r="AM60" i="26"/>
  <c r="B112" i="25"/>
  <c r="BJ79" i="26"/>
  <c r="BK79" i="26" s="1" a="1"/>
  <c r="BK79" i="26" s="1"/>
  <c r="AM61" i="25"/>
  <c r="BJ79" i="25"/>
  <c r="BL79" i="25" s="1" a="1"/>
  <c r="BL79" i="25" s="1"/>
  <c r="BJ79" i="24"/>
  <c r="BL79" i="24" s="1" a="1"/>
  <c r="BL79" i="24" s="1"/>
  <c r="AL127" i="24"/>
  <c r="AL130" i="24" s="1"/>
  <c r="B112" i="24"/>
  <c r="AL113" i="24"/>
  <c r="Q112" i="24" s="1"/>
  <c r="AW70" i="24"/>
  <c r="AW71" i="24"/>
  <c r="AN101" i="24"/>
  <c r="B59" i="13" s="1"/>
  <c r="AM101" i="24"/>
  <c r="AN101" i="25"/>
  <c r="B88" i="13" s="1"/>
  <c r="AM101" i="25"/>
  <c r="AM101" i="26"/>
  <c r="AQ100" i="25"/>
  <c r="AQ100" i="26"/>
  <c r="AQ100" i="24"/>
  <c r="AN101" i="26"/>
  <c r="B117" i="13" s="1"/>
  <c r="AQ25" i="26"/>
  <c r="B116" i="13" s="1"/>
  <c r="AQ25" i="25"/>
  <c r="B87" i="13" s="1"/>
  <c r="AQ25" i="24"/>
  <c r="B58" i="13" s="1"/>
  <c r="AQ25" i="1"/>
  <c r="F21" i="29"/>
  <c r="F20" i="29"/>
  <c r="F16" i="29"/>
  <c r="F7" i="29"/>
  <c r="F15" i="29"/>
  <c r="F22" i="29"/>
  <c r="F11" i="29"/>
  <c r="F13" i="29"/>
  <c r="F9" i="29"/>
  <c r="F12" i="29"/>
  <c r="F19" i="29"/>
  <c r="F14" i="29"/>
  <c r="F18" i="29"/>
  <c r="F8" i="29"/>
  <c r="F10" i="29"/>
  <c r="F17" i="29"/>
  <c r="AW71" i="26"/>
  <c r="AW70" i="26"/>
  <c r="AN66" i="25"/>
  <c r="F10" i="28"/>
  <c r="F21" i="28"/>
  <c r="F20" i="28"/>
  <c r="F8" i="28"/>
  <c r="F14" i="28"/>
  <c r="F22" i="28"/>
  <c r="F15" i="28"/>
  <c r="F9" i="28"/>
  <c r="F16" i="28"/>
  <c r="F11" i="28"/>
  <c r="F7" i="28"/>
  <c r="F17" i="28"/>
  <c r="F12" i="28"/>
  <c r="F19" i="28"/>
  <c r="F13" i="28"/>
  <c r="F18" i="28"/>
  <c r="AW71" i="25"/>
  <c r="AW70" i="25"/>
  <c r="I1" i="29"/>
  <c r="AL113" i="1"/>
  <c r="Q112" i="1" s="1"/>
  <c r="AL113" i="26"/>
  <c r="Q112" i="26" s="1"/>
  <c r="B112" i="26"/>
  <c r="AL132" i="1"/>
  <c r="AM132" i="1" s="1"/>
  <c r="AL127" i="25"/>
  <c r="AL132" i="24"/>
  <c r="AL132" i="25"/>
  <c r="AL132" i="26"/>
  <c r="I1" i="27"/>
  <c r="J1" i="27" s="1"/>
  <c r="F10" i="27"/>
  <c r="F22" i="27"/>
  <c r="F21" i="27"/>
  <c r="F18" i="27"/>
  <c r="F13" i="27"/>
  <c r="F12" i="27"/>
  <c r="F7" i="27"/>
  <c r="F17" i="27"/>
  <c r="F19" i="27"/>
  <c r="F9" i="27"/>
  <c r="F14" i="27"/>
  <c r="F16" i="27"/>
  <c r="F20" i="27"/>
  <c r="F15" i="27"/>
  <c r="F8" i="27"/>
  <c r="F11" i="27"/>
  <c r="I1" i="28"/>
  <c r="M1" i="28" s="1"/>
  <c r="N1" i="28" s="1"/>
  <c r="AL127" i="26"/>
  <c r="G20" i="1"/>
  <c r="B112" i="1"/>
  <c r="AN66" i="1"/>
  <c r="AW74" i="1" s="1"/>
  <c r="AL127" i="1"/>
  <c r="AL130" i="1" s="1"/>
  <c r="AM60" i="1"/>
  <c r="AM61" i="1"/>
  <c r="BJ79" i="1"/>
  <c r="BK79" i="1" s="1" a="1"/>
  <c r="BK79" i="1" s="1"/>
  <c r="AM101" i="1"/>
  <c r="X23" i="14" a="1"/>
  <c r="X23" i="14" s="1"/>
  <c r="X1" i="14" s="1"/>
  <c r="O1" i="14"/>
  <c r="AO23" i="14" a="1"/>
  <c r="AO23" i="14" s="1"/>
  <c r="AO1" i="14" s="1"/>
  <c r="AN23" i="14" a="1"/>
  <c r="AN23" i="14" s="1"/>
  <c r="AN1" i="14" s="1"/>
  <c r="AM23" i="14" a="1"/>
  <c r="AM23" i="14" s="1"/>
  <c r="AM1" i="14" s="1"/>
  <c r="AP23" i="14" a="1"/>
  <c r="AP23" i="14" s="1"/>
  <c r="AR23" i="14" a="1"/>
  <c r="AR23" i="14" s="1"/>
  <c r="AQ23" i="14" a="1"/>
  <c r="AQ23" i="14" s="1"/>
  <c r="BJ23" i="14" a="1"/>
  <c r="BJ23" i="14" s="1"/>
  <c r="BK23" i="14" a="1"/>
  <c r="BK23" i="14" s="1"/>
  <c r="BP23" i="14" a="1"/>
  <c r="BP23" i="14" s="1"/>
  <c r="BO23" i="14" a="1"/>
  <c r="BO23" i="14" s="1"/>
  <c r="BE23" i="14" a="1"/>
  <c r="BE23" i="14" s="1"/>
  <c r="BD23" i="14" a="1"/>
  <c r="BD23" i="14" s="1"/>
  <c r="BB23" i="14" a="1"/>
  <c r="BB23" i="14" s="1"/>
  <c r="BB1" i="14" s="1"/>
  <c r="BC23" i="14" a="1"/>
  <c r="BC23" i="14" s="1"/>
  <c r="AK23" i="14" a="1"/>
  <c r="AK23" i="14" s="1"/>
  <c r="AJ23" i="14" a="1"/>
  <c r="AJ23" i="14" s="1"/>
  <c r="BM23" i="14" a="1"/>
  <c r="BM23" i="14" s="1"/>
  <c r="BN23" i="14" a="1"/>
  <c r="BN23" i="14" s="1"/>
  <c r="BL23" i="14" a="1"/>
  <c r="BL23" i="14" s="1"/>
  <c r="BI23" i="14" a="1"/>
  <c r="BI23" i="14" s="1"/>
  <c r="BG23" i="14" a="1"/>
  <c r="BG23" i="14" s="1"/>
  <c r="BH23" i="14" a="1"/>
  <c r="BH23" i="14" s="1"/>
  <c r="BF23" i="14" a="1"/>
  <c r="BF23" i="14" s="1"/>
  <c r="AS23" i="14" a="1"/>
  <c r="AS23" i="14" s="1"/>
  <c r="AS1" i="14" s="1"/>
  <c r="AU23" i="14" a="1"/>
  <c r="AU23" i="14" s="1"/>
  <c r="AU1" i="14" s="1"/>
  <c r="AT23" i="14" a="1"/>
  <c r="AT23" i="14" s="1"/>
  <c r="AT1" i="14" s="1"/>
  <c r="AB23" i="14" a="1"/>
  <c r="AB23" i="14" s="1"/>
  <c r="AB1" i="14" s="1"/>
  <c r="AC23" i="14" a="1"/>
  <c r="AC23" i="14" s="1"/>
  <c r="AC1" i="14" s="1"/>
  <c r="AA23" i="14" a="1"/>
  <c r="AA23" i="14" s="1"/>
  <c r="AA1" i="14" s="1"/>
  <c r="AV23" i="14" a="1"/>
  <c r="AV23" i="14" s="1"/>
  <c r="AW23" i="14" a="1"/>
  <c r="AW23" i="14" s="1"/>
  <c r="AX23" i="14" a="1"/>
  <c r="AX23" i="14" s="1"/>
  <c r="AW71" i="1"/>
  <c r="Q114" i="1"/>
  <c r="BC111" i="1"/>
  <c r="J1" i="14"/>
  <c r="K1" i="14" s="1"/>
  <c r="L1" i="14"/>
  <c r="AQ100" i="1"/>
  <c r="AQ103" i="1" s="1"/>
  <c r="AN101" i="1"/>
  <c r="C116" i="1"/>
  <c r="C118" i="1" s="1"/>
  <c r="AM122" i="1"/>
  <c r="AU21" i="1"/>
  <c r="E59" i="13" l="1"/>
  <c r="D59" i="13"/>
  <c r="E91" i="13"/>
  <c r="D91" i="13"/>
  <c r="Q91" i="13" s="1"/>
  <c r="R91" i="13" s="1"/>
  <c r="E58" i="13"/>
  <c r="D58" i="13"/>
  <c r="E28" i="13"/>
  <c r="D28" i="13"/>
  <c r="Q28" i="13" s="1"/>
  <c r="E117" i="13"/>
  <c r="D117" i="13"/>
  <c r="Q117" i="13" s="1"/>
  <c r="AM104" i="1"/>
  <c r="E88" i="13"/>
  <c r="D88" i="13"/>
  <c r="E87" i="13"/>
  <c r="D87" i="13"/>
  <c r="AM104" i="26"/>
  <c r="E33" i="13"/>
  <c r="D33" i="13"/>
  <c r="Q33" i="13" s="1"/>
  <c r="R33" i="13" s="1"/>
  <c r="D62" i="13"/>
  <c r="Q62" i="13" s="1"/>
  <c r="T62" i="13" s="1"/>
  <c r="E62" i="13"/>
  <c r="D116" i="13"/>
  <c r="Q116" i="13" s="1"/>
  <c r="E116" i="13"/>
  <c r="AM104" i="24"/>
  <c r="F49" i="29"/>
  <c r="F50" i="29" s="1"/>
  <c r="A50" i="29" s="1"/>
  <c r="F40" i="29"/>
  <c r="A40" i="29" s="1"/>
  <c r="S1" i="28"/>
  <c r="T1" i="28"/>
  <c r="U1" i="28"/>
  <c r="Y23" i="14" a="1"/>
  <c r="Y23" i="14" s="1"/>
  <c r="AD1" i="27"/>
  <c r="AE1" i="27" s="1"/>
  <c r="T34" i="13"/>
  <c r="V34" i="13" s="1"/>
  <c r="W34" i="13" s="1"/>
  <c r="AK1" i="27"/>
  <c r="C29" i="28"/>
  <c r="B97" i="13" s="1"/>
  <c r="AQ29" i="1"/>
  <c r="AO28" i="1"/>
  <c r="AO27" i="1"/>
  <c r="AQ30" i="1"/>
  <c r="AN25" i="1"/>
  <c r="AM124" i="26" a="1"/>
  <c r="AM124" i="26" s="1"/>
  <c r="AM119" i="26" s="1"/>
  <c r="B119" i="13" s="1"/>
  <c r="AM123" i="26" a="1"/>
  <c r="AM123" i="26" s="1"/>
  <c r="R60" i="13"/>
  <c r="T60" i="13"/>
  <c r="AM124" i="24" a="1"/>
  <c r="AM124" i="24" s="1"/>
  <c r="AM123" i="24" a="1"/>
  <c r="AM123" i="24" s="1"/>
  <c r="AM119" i="24" s="1"/>
  <c r="B61" i="13" s="1"/>
  <c r="T120" i="13"/>
  <c r="R120" i="13"/>
  <c r="F47" i="28"/>
  <c r="A46" i="28"/>
  <c r="F47" i="27"/>
  <c r="A46" i="27"/>
  <c r="AQ30" i="24"/>
  <c r="B57" i="13"/>
  <c r="AO28" i="24"/>
  <c r="AO27" i="24"/>
  <c r="AN25" i="24"/>
  <c r="AQ29" i="24"/>
  <c r="F38" i="27"/>
  <c r="A37" i="27"/>
  <c r="AQ30" i="25"/>
  <c r="B86" i="13"/>
  <c r="AO28" i="25"/>
  <c r="AN25" i="25"/>
  <c r="AQ29" i="25"/>
  <c r="AO27" i="25"/>
  <c r="AQ30" i="26"/>
  <c r="AO28" i="26"/>
  <c r="AN25" i="26"/>
  <c r="AQ29" i="26"/>
  <c r="AO27" i="26"/>
  <c r="B115" i="13"/>
  <c r="R118" i="13"/>
  <c r="T118" i="13"/>
  <c r="R63" i="13"/>
  <c r="T63" i="13"/>
  <c r="F40" i="28"/>
  <c r="A40" i="28" s="1"/>
  <c r="A39" i="28"/>
  <c r="AM124" i="25" a="1"/>
  <c r="AM124" i="25" s="1"/>
  <c r="AM123" i="25" a="1"/>
  <c r="AM123" i="25" s="1"/>
  <c r="AM119" i="25" s="1"/>
  <c r="B90" i="13" s="1"/>
  <c r="R121" i="13"/>
  <c r="T121" i="13"/>
  <c r="R89" i="13"/>
  <c r="T89" i="13"/>
  <c r="R92" i="13"/>
  <c r="T92" i="13"/>
  <c r="W23" i="14" a="1"/>
  <c r="W23" i="14" s="1"/>
  <c r="W1" i="14" s="1"/>
  <c r="Q23" i="14" a="1"/>
  <c r="Q23" i="14" s="1"/>
  <c r="R23" i="14" a="1"/>
  <c r="R23" i="14" s="1"/>
  <c r="P23" i="14" a="1"/>
  <c r="P23" i="14" s="1"/>
  <c r="P1" i="14" s="1"/>
  <c r="AW72" i="24"/>
  <c r="V100" i="13"/>
  <c r="W100" i="13" s="1"/>
  <c r="AW74" i="24"/>
  <c r="F38" i="14"/>
  <c r="A37" i="14"/>
  <c r="Q88" i="13"/>
  <c r="Q59" i="13"/>
  <c r="E23" i="29" a="1"/>
  <c r="E23" i="29" s="1"/>
  <c r="O129" i="13" s="1"/>
  <c r="T129" i="13" s="1"/>
  <c r="V129" i="13" s="1"/>
  <c r="W129" i="13" s="1"/>
  <c r="N23" i="29" a="1"/>
  <c r="N23" i="29" s="1"/>
  <c r="O23" i="29" a="1"/>
  <c r="O23" i="29" s="1"/>
  <c r="M23" i="29" a="1"/>
  <c r="M23" i="29" s="1"/>
  <c r="V71" i="13"/>
  <c r="W71" i="13" s="1"/>
  <c r="U71" i="13"/>
  <c r="Q87" i="13"/>
  <c r="A46" i="14"/>
  <c r="Q58" i="13"/>
  <c r="BK79" i="25" a="1"/>
  <c r="BK79" i="25" s="1"/>
  <c r="F47" i="14"/>
  <c r="A47" i="14" s="1"/>
  <c r="F51" i="29"/>
  <c r="AL129" i="24"/>
  <c r="F23" i="27" a="1"/>
  <c r="F23" i="27" s="1"/>
  <c r="O72" i="13" s="1"/>
  <c r="BL79" i="26" a="1"/>
  <c r="BL79" i="26" s="1"/>
  <c r="AR23" i="27" a="1"/>
  <c r="AR23" i="27" s="1"/>
  <c r="AR1" i="27" s="1"/>
  <c r="F23" i="29" a="1"/>
  <c r="F23" i="29" s="1"/>
  <c r="O130" i="13" s="1"/>
  <c r="AQ23" i="27" a="1"/>
  <c r="AQ23" i="27" s="1"/>
  <c r="AP23" i="27" a="1"/>
  <c r="AP23" i="27" s="1"/>
  <c r="AP1" i="27" s="1"/>
  <c r="AS72" i="26"/>
  <c r="AW72" i="26"/>
  <c r="F23" i="28" a="1"/>
  <c r="F23" i="28" s="1"/>
  <c r="O101" i="13" s="1"/>
  <c r="AL23" i="14" a="1"/>
  <c r="AL23" i="14" s="1"/>
  <c r="BK79" i="24" a="1"/>
  <c r="BK79" i="24" s="1"/>
  <c r="AL130" i="26"/>
  <c r="AL129" i="26"/>
  <c r="AL130" i="25"/>
  <c r="AL129" i="25"/>
  <c r="AM102" i="24" a="1"/>
  <c r="AM102" i="24" s="1"/>
  <c r="AQ102" i="24"/>
  <c r="AQ103" i="24"/>
  <c r="AM133" i="1"/>
  <c r="AM133" i="26"/>
  <c r="Z112" i="26"/>
  <c r="AM132" i="26"/>
  <c r="AQ103" i="26"/>
  <c r="AQ102" i="26"/>
  <c r="AM102" i="26" s="1" a="1"/>
  <c r="AM102" i="26" s="1"/>
  <c r="AW72" i="25"/>
  <c r="AS72" i="25"/>
  <c r="AW74" i="25"/>
  <c r="B30" i="13"/>
  <c r="Z112" i="1"/>
  <c r="AM132" i="25"/>
  <c r="Z112" i="25"/>
  <c r="AM133" i="25"/>
  <c r="AQ103" i="25"/>
  <c r="AQ102" i="25"/>
  <c r="AM102" i="25" s="1" a="1"/>
  <c r="AM102" i="25" s="1"/>
  <c r="AM132" i="24"/>
  <c r="AM133" i="24"/>
  <c r="Z112" i="24"/>
  <c r="B29" i="13"/>
  <c r="AS72" i="1"/>
  <c r="AS66" i="1" s="1"/>
  <c r="AW72" i="1"/>
  <c r="E23" i="14" a="1"/>
  <c r="E23" i="14" s="1"/>
  <c r="F23" i="14" a="1"/>
  <c r="F23" i="14" s="1"/>
  <c r="AL129" i="1"/>
  <c r="BL79" i="1" a="1"/>
  <c r="BL79" i="1" s="1"/>
  <c r="AQ102" i="1"/>
  <c r="AM102" i="1" s="1" a="1"/>
  <c r="AM102" i="1" s="1"/>
  <c r="AM123" i="1" a="1"/>
  <c r="AM123" i="1" s="1"/>
  <c r="AM124" i="1" a="1"/>
  <c r="AM124" i="1" s="1"/>
  <c r="AM119" i="1" s="1"/>
  <c r="R31" i="13"/>
  <c r="T31" i="13"/>
  <c r="V31" i="13" s="1"/>
  <c r="T91" i="13" l="1"/>
  <c r="D86" i="13"/>
  <c r="E86" i="13"/>
  <c r="E90" i="13"/>
  <c r="D90" i="13"/>
  <c r="T33" i="13"/>
  <c r="V33" i="13" s="1"/>
  <c r="W33" i="13" s="1"/>
  <c r="E61" i="13"/>
  <c r="D61" i="13"/>
  <c r="Q61" i="13" s="1"/>
  <c r="D30" i="13"/>
  <c r="Q30" i="13" s="1"/>
  <c r="E30" i="13"/>
  <c r="D29" i="13"/>
  <c r="Q29" i="13" s="1"/>
  <c r="E29" i="13"/>
  <c r="E97" i="13"/>
  <c r="D97" i="13"/>
  <c r="R62" i="13"/>
  <c r="E57" i="13"/>
  <c r="D57" i="13"/>
  <c r="Q57" i="13" s="1"/>
  <c r="E115" i="13"/>
  <c r="D115" i="13"/>
  <c r="Q115" i="13" s="1"/>
  <c r="E119" i="13"/>
  <c r="D119" i="13"/>
  <c r="Q119" i="13" s="1"/>
  <c r="A49" i="29"/>
  <c r="F41" i="29"/>
  <c r="A47" i="28"/>
  <c r="F48" i="28"/>
  <c r="A48" i="28" s="1"/>
  <c r="F49" i="28"/>
  <c r="A49" i="28" s="1"/>
  <c r="F41" i="28"/>
  <c r="F42" i="28" s="1"/>
  <c r="A42" i="28" s="1"/>
  <c r="F33" i="28"/>
  <c r="F31" i="28"/>
  <c r="O95" i="13" s="1"/>
  <c r="E33" i="28"/>
  <c r="E30" i="28"/>
  <c r="B94" i="13" s="1"/>
  <c r="F32" i="28"/>
  <c r="O96" i="13" s="1"/>
  <c r="F30" i="28"/>
  <c r="O94" i="13" s="1"/>
  <c r="O97" i="13"/>
  <c r="E32" i="28"/>
  <c r="B96" i="13" s="1"/>
  <c r="E31" i="28"/>
  <c r="B95" i="13" s="1"/>
  <c r="A38" i="27"/>
  <c r="F39" i="27"/>
  <c r="A39" i="27" s="1"/>
  <c r="U34" i="13"/>
  <c r="C29" i="14"/>
  <c r="B39" i="13" s="1"/>
  <c r="Q90" i="13"/>
  <c r="Q86" i="13"/>
  <c r="V120" i="13"/>
  <c r="W120" i="13" s="1"/>
  <c r="U120" i="13"/>
  <c r="V91" i="13"/>
  <c r="W91" i="13" s="1"/>
  <c r="U91" i="13"/>
  <c r="U92" i="13"/>
  <c r="V92" i="13"/>
  <c r="W92" i="13" s="1"/>
  <c r="U63" i="13"/>
  <c r="V63" i="13"/>
  <c r="W63" i="13" s="1"/>
  <c r="U62" i="13"/>
  <c r="V62" i="13"/>
  <c r="W62" i="13" s="1"/>
  <c r="V60" i="13"/>
  <c r="W60" i="13" s="1"/>
  <c r="U60" i="13"/>
  <c r="V89" i="13"/>
  <c r="W89" i="13" s="1"/>
  <c r="U89" i="13"/>
  <c r="V121" i="13"/>
  <c r="W121" i="13" s="1"/>
  <c r="U121" i="13"/>
  <c r="V118" i="13"/>
  <c r="W118" i="13" s="1"/>
  <c r="U118" i="13"/>
  <c r="F48" i="27"/>
  <c r="A48" i="27" s="1"/>
  <c r="A47" i="27"/>
  <c r="T101" i="13"/>
  <c r="T72" i="13"/>
  <c r="V72" i="13" s="1"/>
  <c r="W72" i="13" s="1"/>
  <c r="O43" i="13"/>
  <c r="T43" i="13" s="1"/>
  <c r="AQ1" i="27"/>
  <c r="U129" i="13"/>
  <c r="Q97" i="13"/>
  <c r="R97" i="13" s="1"/>
  <c r="R88" i="13"/>
  <c r="T88" i="13"/>
  <c r="R87" i="13"/>
  <c r="T87" i="13"/>
  <c r="R58" i="13"/>
  <c r="T58" i="13"/>
  <c r="R59" i="13"/>
  <c r="T59" i="13"/>
  <c r="M1" i="29"/>
  <c r="C29" i="29"/>
  <c r="A38" i="14"/>
  <c r="F39" i="14"/>
  <c r="F48" i="14"/>
  <c r="A48" i="14" s="1"/>
  <c r="T130" i="13"/>
  <c r="A51" i="29"/>
  <c r="F52" i="29"/>
  <c r="A52" i="29" s="1"/>
  <c r="R117" i="13"/>
  <c r="T117" i="13"/>
  <c r="R116" i="13"/>
  <c r="T116" i="13"/>
  <c r="C29" i="27"/>
  <c r="F33" i="27" s="1"/>
  <c r="B32" i="13"/>
  <c r="O42" i="13"/>
  <c r="T42" i="13" s="1"/>
  <c r="Q1" i="14"/>
  <c r="R1" i="14"/>
  <c r="BC1" i="14" s="1"/>
  <c r="R28" i="13"/>
  <c r="T28" i="13"/>
  <c r="V28" i="13" s="1"/>
  <c r="U31" i="13"/>
  <c r="W31" i="13"/>
  <c r="U33" i="13" l="1"/>
  <c r="R29" i="13"/>
  <c r="T29" i="13"/>
  <c r="R30" i="13"/>
  <c r="T30" i="13"/>
  <c r="E94" i="13"/>
  <c r="D94" i="13"/>
  <c r="Q94" i="13" s="1"/>
  <c r="D32" i="13"/>
  <c r="Q32" i="13" s="1"/>
  <c r="E32" i="13"/>
  <c r="D39" i="13"/>
  <c r="E39" i="13"/>
  <c r="Q95" i="13"/>
  <c r="R95" i="13" s="1"/>
  <c r="E95" i="13"/>
  <c r="D95" i="13"/>
  <c r="E96" i="13"/>
  <c r="D96" i="13"/>
  <c r="A41" i="29"/>
  <c r="F42" i="29"/>
  <c r="R119" i="13"/>
  <c r="T119" i="13"/>
  <c r="F50" i="28"/>
  <c r="A50" i="28" s="1"/>
  <c r="A41" i="28"/>
  <c r="F43" i="28"/>
  <c r="A43" i="28" s="1"/>
  <c r="Q96" i="13"/>
  <c r="R96" i="13" s="1"/>
  <c r="F49" i="27"/>
  <c r="F40" i="27"/>
  <c r="O39" i="13"/>
  <c r="R61" i="13"/>
  <c r="T61" i="13"/>
  <c r="R57" i="13"/>
  <c r="T57" i="13"/>
  <c r="T86" i="13"/>
  <c r="R86" i="13"/>
  <c r="R115" i="13"/>
  <c r="T115" i="13"/>
  <c r="R90" i="13"/>
  <c r="T90" i="13"/>
  <c r="N1" i="29"/>
  <c r="O1" i="29" s="1"/>
  <c r="BO1" i="29"/>
  <c r="BP1" i="29" s="1"/>
  <c r="U72" i="13"/>
  <c r="E30" i="27"/>
  <c r="B65" i="13" s="1"/>
  <c r="F30" i="27"/>
  <c r="O65" i="13" s="1"/>
  <c r="E31" i="27"/>
  <c r="B66" i="13" s="1"/>
  <c r="F32" i="27"/>
  <c r="E32" i="27"/>
  <c r="B126" i="13"/>
  <c r="F33" i="29"/>
  <c r="E33" i="29"/>
  <c r="O126" i="13"/>
  <c r="V58" i="13"/>
  <c r="U58" i="13"/>
  <c r="F31" i="27"/>
  <c r="O66" i="13" s="1"/>
  <c r="V87" i="13"/>
  <c r="U87" i="13"/>
  <c r="F49" i="14"/>
  <c r="E33" i="27"/>
  <c r="V130" i="13"/>
  <c r="W130" i="13" s="1"/>
  <c r="U130" i="13"/>
  <c r="T97" i="13"/>
  <c r="V101" i="13"/>
  <c r="W101" i="13" s="1"/>
  <c r="U101" i="13"/>
  <c r="A39" i="14"/>
  <c r="V88" i="13"/>
  <c r="W88" i="13" s="1"/>
  <c r="U88" i="13"/>
  <c r="B67" i="13"/>
  <c r="O68" i="13"/>
  <c r="B68" i="13"/>
  <c r="O67" i="13"/>
  <c r="F40" i="14"/>
  <c r="V59" i="13"/>
  <c r="W59" i="13" s="1"/>
  <c r="U59" i="13"/>
  <c r="F53" i="29"/>
  <c r="A53" i="29" s="1"/>
  <c r="U117" i="13"/>
  <c r="V117" i="13"/>
  <c r="W117" i="13" s="1"/>
  <c r="V116" i="13"/>
  <c r="U116" i="13"/>
  <c r="V29" i="13"/>
  <c r="V30" i="13"/>
  <c r="W30" i="13" s="1"/>
  <c r="V43" i="13"/>
  <c r="W43" i="13" s="1"/>
  <c r="U43" i="13"/>
  <c r="U42" i="13"/>
  <c r="V42" i="13"/>
  <c r="W42" i="13" s="1"/>
  <c r="U29" i="13"/>
  <c r="U30" i="13"/>
  <c r="S1" i="14"/>
  <c r="BD1" i="14"/>
  <c r="U28" i="13"/>
  <c r="R94" i="13" l="1"/>
  <c r="T94" i="13"/>
  <c r="E126" i="13"/>
  <c r="D126" i="13"/>
  <c r="E68" i="13"/>
  <c r="D68" i="13"/>
  <c r="Q68" i="13" s="1"/>
  <c r="R68" i="13" s="1"/>
  <c r="E66" i="13"/>
  <c r="D66" i="13"/>
  <c r="Q66" i="13" s="1"/>
  <c r="R66" i="13" s="1"/>
  <c r="E67" i="13"/>
  <c r="D67" i="13"/>
  <c r="Q67" i="13" s="1"/>
  <c r="R67" i="13" s="1"/>
  <c r="E65" i="13"/>
  <c r="D65" i="13"/>
  <c r="Q65" i="13" s="1"/>
  <c r="R65" i="13" s="1"/>
  <c r="T95" i="13"/>
  <c r="S1" i="29"/>
  <c r="T1" i="29"/>
  <c r="U1" i="29" s="1"/>
  <c r="A42" i="29"/>
  <c r="F43" i="29"/>
  <c r="A43" i="29" s="1"/>
  <c r="V119" i="13"/>
  <c r="W119" i="13" s="1"/>
  <c r="U119" i="13"/>
  <c r="F51" i="28"/>
  <c r="F52" i="28"/>
  <c r="A52" i="28" s="1"/>
  <c r="T96" i="13"/>
  <c r="V96" i="13" s="1"/>
  <c r="W96" i="13" s="1"/>
  <c r="A40" i="27"/>
  <c r="F41" i="27"/>
  <c r="A41" i="27" s="1"/>
  <c r="A49" i="27"/>
  <c r="F50" i="27"/>
  <c r="A50" i="27" s="1"/>
  <c r="T1" i="14"/>
  <c r="U1" i="14" s="1"/>
  <c r="U86" i="13"/>
  <c r="V86" i="13"/>
  <c r="W86" i="13" s="1"/>
  <c r="U57" i="13"/>
  <c r="V57" i="13"/>
  <c r="W57" i="13" s="1"/>
  <c r="U90" i="13"/>
  <c r="V90" i="13"/>
  <c r="W90" i="13" s="1"/>
  <c r="U115" i="13"/>
  <c r="V115" i="13"/>
  <c r="W115" i="13" s="1"/>
  <c r="V61" i="13"/>
  <c r="W61" i="13" s="1"/>
  <c r="U61" i="13"/>
  <c r="AV1" i="29"/>
  <c r="E30" i="29"/>
  <c r="B123" i="13" s="1"/>
  <c r="F54" i="29"/>
  <c r="A54" i="29" s="1"/>
  <c r="F41" i="14"/>
  <c r="A41" i="14" s="1"/>
  <c r="A40" i="14"/>
  <c r="V94" i="13"/>
  <c r="W94" i="13" s="1"/>
  <c r="U94" i="13"/>
  <c r="Q126" i="13"/>
  <c r="R126" i="13" s="1"/>
  <c r="W58" i="13"/>
  <c r="A49" i="14"/>
  <c r="F50" i="14"/>
  <c r="A50" i="14" s="1"/>
  <c r="W29" i="13"/>
  <c r="U97" i="13"/>
  <c r="V97" i="13"/>
  <c r="W97" i="13" s="1"/>
  <c r="W87" i="13"/>
  <c r="U95" i="13"/>
  <c r="V95" i="13"/>
  <c r="W95" i="13" s="1"/>
  <c r="F55" i="29"/>
  <c r="A55" i="29" s="1"/>
  <c r="W116" i="13"/>
  <c r="R32" i="13"/>
  <c r="T32" i="13"/>
  <c r="V32" i="13" s="1"/>
  <c r="W32" i="13" s="1"/>
  <c r="V1" i="14"/>
  <c r="BF1" i="14"/>
  <c r="BG1" i="14" s="1"/>
  <c r="BH1" i="14" s="1"/>
  <c r="BI1" i="14" s="1"/>
  <c r="BE1" i="14"/>
  <c r="W28" i="13"/>
  <c r="D123" i="13" l="1"/>
  <c r="Q123" i="13" s="1"/>
  <c r="R123" i="13" s="1"/>
  <c r="E123" i="13"/>
  <c r="U96" i="13"/>
  <c r="A51" i="28"/>
  <c r="F53" i="28"/>
  <c r="Y1" i="14"/>
  <c r="Z1" i="14" s="1"/>
  <c r="AM113" i="26"/>
  <c r="F51" i="27"/>
  <c r="F42" i="27"/>
  <c r="F42" i="14"/>
  <c r="F43" i="14" s="1"/>
  <c r="A43" i="14" s="1"/>
  <c r="AM115" i="26"/>
  <c r="AW1" i="29"/>
  <c r="F30" i="29"/>
  <c r="O123" i="13" s="1"/>
  <c r="AX1" i="29"/>
  <c r="E32" i="29" s="1"/>
  <c r="B125" i="13" s="1"/>
  <c r="AM112" i="26"/>
  <c r="AM116" i="26"/>
  <c r="F51" i="14"/>
  <c r="A51" i="14" s="1"/>
  <c r="V105" i="13"/>
  <c r="W105" i="13" s="1"/>
  <c r="U32" i="13"/>
  <c r="T65" i="13"/>
  <c r="T126" i="13"/>
  <c r="T66" i="13"/>
  <c r="T67" i="13"/>
  <c r="T68" i="13"/>
  <c r="AM109" i="26"/>
  <c r="AM111" i="26"/>
  <c r="AM114" i="26"/>
  <c r="AM110" i="26"/>
  <c r="AM107" i="26"/>
  <c r="AM108" i="26"/>
  <c r="AP1" i="14"/>
  <c r="AJ1" i="14"/>
  <c r="AK1" i="14" s="1"/>
  <c r="AL1" i="14" s="1"/>
  <c r="AQ1" i="14"/>
  <c r="AR1" i="14" s="1"/>
  <c r="BJ1" i="14"/>
  <c r="E125" i="13" l="1"/>
  <c r="D125" i="13"/>
  <c r="Q125" i="13" s="1"/>
  <c r="R125" i="13" s="1"/>
  <c r="T123" i="13"/>
  <c r="A53" i="28"/>
  <c r="F54" i="28"/>
  <c r="A51" i="27"/>
  <c r="F52" i="27"/>
  <c r="A52" i="27" s="1"/>
  <c r="A42" i="27"/>
  <c r="F43" i="27"/>
  <c r="A43" i="27" s="1"/>
  <c r="F53" i="27"/>
  <c r="A42" i="14"/>
  <c r="AV1" i="14"/>
  <c r="AW1" i="14" s="1"/>
  <c r="AX1" i="14" s="1"/>
  <c r="F31" i="29"/>
  <c r="O124" i="13" s="1"/>
  <c r="E31" i="29"/>
  <c r="B124" i="13" s="1"/>
  <c r="F32" i="29"/>
  <c r="O125" i="13" s="1"/>
  <c r="F52" i="14"/>
  <c r="A52" i="14" s="1"/>
  <c r="V65" i="13"/>
  <c r="U65" i="13"/>
  <c r="U67" i="13"/>
  <c r="V67" i="13"/>
  <c r="W67" i="13" s="1"/>
  <c r="V68" i="13"/>
  <c r="W68" i="13" s="1"/>
  <c r="U68" i="13"/>
  <c r="V66" i="13"/>
  <c r="W66" i="13" s="1"/>
  <c r="U66" i="13"/>
  <c r="V123" i="13"/>
  <c r="U123" i="13"/>
  <c r="V126" i="13"/>
  <c r="W126" i="13" s="1"/>
  <c r="U126" i="13"/>
  <c r="BK1" i="14"/>
  <c r="E124" i="13" l="1"/>
  <c r="D124" i="13"/>
  <c r="Q124" i="13" s="1"/>
  <c r="R124" i="13" s="1"/>
  <c r="A54" i="28"/>
  <c r="F55" i="28"/>
  <c r="A55" i="28" s="1"/>
  <c r="AM115" i="25" s="1"/>
  <c r="F54" i="27"/>
  <c r="A54" i="27" s="1"/>
  <c r="A53" i="27"/>
  <c r="F53" i="14"/>
  <c r="A53" i="14" s="1"/>
  <c r="T125" i="13"/>
  <c r="W123" i="13"/>
  <c r="W65" i="13"/>
  <c r="V76" i="13"/>
  <c r="W76" i="13" s="1"/>
  <c r="BL1" i="14"/>
  <c r="AM116" i="25" l="1"/>
  <c r="AM110" i="25"/>
  <c r="AM109" i="25"/>
  <c r="AM111" i="25"/>
  <c r="AM112" i="25"/>
  <c r="AM108" i="25"/>
  <c r="AM113" i="25"/>
  <c r="AM107" i="25"/>
  <c r="AM114" i="25"/>
  <c r="F55" i="27"/>
  <c r="A55" i="27" s="1"/>
  <c r="AM107" i="24" s="1"/>
  <c r="F54" i="14"/>
  <c r="F55" i="14" s="1"/>
  <c r="A55" i="14" s="1"/>
  <c r="T124" i="13"/>
  <c r="V125" i="13"/>
  <c r="W125" i="13" s="1"/>
  <c r="U125" i="13"/>
  <c r="BM1" i="14"/>
  <c r="AM110" i="24" l="1"/>
  <c r="AM114" i="24"/>
  <c r="AM109" i="24"/>
  <c r="AM115" i="24"/>
  <c r="AM108" i="24"/>
  <c r="AM113" i="24"/>
  <c r="AM111" i="24"/>
  <c r="AM112" i="24"/>
  <c r="A54" i="14"/>
  <c r="AM112" i="1" s="1"/>
  <c r="AM116" i="24"/>
  <c r="AM114" i="1"/>
  <c r="U124" i="13"/>
  <c r="V124" i="13"/>
  <c r="BN1" i="14"/>
  <c r="AM109" i="1" l="1"/>
  <c r="AM113" i="1"/>
  <c r="AM111" i="1"/>
  <c r="AM110" i="1"/>
  <c r="AM107" i="1"/>
  <c r="AM108" i="1"/>
  <c r="AM115" i="1"/>
  <c r="AM116" i="1"/>
  <c r="W124" i="13"/>
  <c r="V134" i="13"/>
  <c r="W134" i="13" s="1"/>
  <c r="BO1" i="14"/>
  <c r="F30" i="14"/>
  <c r="BP1" i="14"/>
  <c r="BQ1" i="14" s="1"/>
  <c r="BR1" i="14" s="1"/>
  <c r="BS1" i="14" s="1"/>
  <c r="E30" i="14"/>
  <c r="O36" i="13" l="1"/>
  <c r="B36" i="13"/>
  <c r="F32" i="14"/>
  <c r="E32" i="14"/>
  <c r="F31" i="14"/>
  <c r="E31" i="14"/>
  <c r="E33" i="14"/>
  <c r="F33" i="14"/>
  <c r="E36" i="13" l="1"/>
  <c r="D36" i="13"/>
  <c r="Q36" i="13" s="1"/>
  <c r="O37" i="13"/>
  <c r="B37" i="13"/>
  <c r="B38" i="13"/>
  <c r="O38" i="13"/>
  <c r="Q39" i="13"/>
  <c r="R39" i="13" s="1"/>
  <c r="T36" i="13" l="1"/>
  <c r="V36" i="13" s="1"/>
  <c r="W36" i="13" s="1"/>
  <c r="R36" i="13"/>
  <c r="E38" i="13"/>
  <c r="D38" i="13"/>
  <c r="Q38" i="13" s="1"/>
  <c r="E37" i="13"/>
  <c r="D37" i="13"/>
  <c r="Q37" i="13" s="1"/>
  <c r="R37" i="13" s="1"/>
  <c r="T39" i="13"/>
  <c r="V39" i="13" s="1"/>
  <c r="U36" i="13" l="1"/>
  <c r="T38" i="13"/>
  <c r="V38" i="13" s="1"/>
  <c r="W38" i="13" s="1"/>
  <c r="R38" i="13"/>
  <c r="T37" i="13"/>
  <c r="V37" i="13" s="1"/>
  <c r="W39" i="13"/>
  <c r="U39" i="13"/>
  <c r="U38" i="13" l="1"/>
  <c r="W37" i="13"/>
  <c r="V47" i="13"/>
  <c r="V17" i="13" s="1"/>
  <c r="W17" i="13" s="1"/>
  <c r="U37" i="13"/>
  <c r="W47" i="1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<sst xmlns="http://schemas.openxmlformats.org/spreadsheetml/2006/main" count="12593" uniqueCount="6959">
  <si>
    <t>StrongLumio</t>
  </si>
  <si>
    <t>Úvod</t>
  </si>
  <si>
    <t>Vždy používejte aktuální verzi formuláře, který je dostupný na našich stánkách.</t>
  </si>
  <si>
    <t>Zpět</t>
  </si>
  <si>
    <t>Dále</t>
  </si>
  <si>
    <t>Jen myšlenka, rozhoudnout se, kde se bude filtrovat typ interieru a jestli vůbec</t>
  </si>
  <si>
    <t>Kuchyň</t>
  </si>
  <si>
    <t>Verze:</t>
  </si>
  <si>
    <t>1.0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</si>
  <si>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</si>
  <si>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</si>
  <si>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</si>
  <si>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</si>
  <si>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</si>
  <si>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</si>
  <si>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</si>
  <si>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</si>
  <si>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</si>
  <si>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</si>
  <si>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</si>
  <si>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A</t>
  </si>
  <si>
    <t>Wprowadzenie</t>
  </si>
  <si>
    <t>Bevezetés</t>
  </si>
  <si>
    <t>Main page</t>
  </si>
  <si>
    <t>přerušení</t>
  </si>
  <si>
    <t>umístění přerušení</t>
  </si>
  <si>
    <t>Ďalšie</t>
  </si>
  <si>
    <t>Kolejne</t>
  </si>
  <si>
    <t>Következő</t>
  </si>
  <si>
    <t>Next</t>
  </si>
  <si>
    <t>rovný</t>
  </si>
  <si>
    <t>ne</t>
  </si>
  <si>
    <t>Výroba LED sestav na míru</t>
  </si>
  <si>
    <t>roh</t>
  </si>
  <si>
    <t>ano</t>
  </si>
  <si>
    <t>vpravo</t>
  </si>
  <si>
    <t xml:space="preserve">Potvrzuji, že rozumím a přijímám výše uvedené podmínky a doporučení: </t>
  </si>
  <si>
    <t xml:space="preserve">Potvrdzujem, že som porozumel a súhlasím s uvedenými podmienkami a odporúčaniami: </t>
  </si>
  <si>
    <t xml:space="preserve">Potwierdzam, że rozumiem i akceptuję powyższe warunki i zalecenia: </t>
  </si>
  <si>
    <t xml:space="preserve">Megerősítem, hogy megértettem és elfogadom a fenti feltételeket és ajánlásokat: </t>
  </si>
  <si>
    <t>Sestava</t>
  </si>
  <si>
    <t>vlevo</t>
  </si>
  <si>
    <t>Tvar sestavy:</t>
  </si>
  <si>
    <t>rohový</t>
  </si>
  <si>
    <t>Bude přerušený led pásek?</t>
  </si>
  <si>
    <t>Rovný bez přerušení - napájení vlevo</t>
  </si>
  <si>
    <t>Rovný bez přerušení - napájení vpravo</t>
  </si>
  <si>
    <t>Rovný s přerušením - napájení vlevo</t>
  </si>
  <si>
    <t>Rovný s přerušením - napájení vpravo</t>
  </si>
  <si>
    <t>Rovný s přerušením - napájení v přerušení</t>
  </si>
  <si>
    <t>Rohový bez přerušení - napájení vlevo</t>
  </si>
  <si>
    <t>Rohový bez přerušení - napájení vpravo</t>
  </si>
  <si>
    <t>Rohový bez přerušení - napájení v rohu</t>
  </si>
  <si>
    <t>Rohový s přerušením - napájení vlevo</t>
  </si>
  <si>
    <t>Rohový s přerušením - napájení vpravo</t>
  </si>
  <si>
    <t>Rohový s přerušením - napájení v rohu</t>
  </si>
  <si>
    <t>Rohový s přerušením - napájení v přerušení</t>
  </si>
  <si>
    <t>Přerušení vlevo</t>
  </si>
  <si>
    <t>Přerušení vpravo</t>
  </si>
  <si>
    <t>Kde?</t>
  </si>
  <si>
    <t>Umístění napájení:</t>
  </si>
  <si>
    <t>v přerušení</t>
  </si>
  <si>
    <t>Umístění přerušení:</t>
  </si>
  <si>
    <t>v rohu</t>
  </si>
  <si>
    <t>Definuj délky:</t>
  </si>
  <si>
    <t>Profil:</t>
  </si>
  <si>
    <t>povrchová</t>
  </si>
  <si>
    <t>k zafrézování</t>
  </si>
  <si>
    <t>k_zafrézování</t>
  </si>
  <si>
    <t>rohová</t>
  </si>
  <si>
    <t>bez profilu</t>
  </si>
  <si>
    <t>Chcete profily krátit na míru?</t>
  </si>
  <si>
    <t>Montáž:</t>
  </si>
  <si>
    <t>Barva:</t>
  </si>
  <si>
    <t>bílá</t>
  </si>
  <si>
    <t>černá</t>
  </si>
  <si>
    <t>stříbrná</t>
  </si>
  <si>
    <t>Definujte tvar sestavy:</t>
  </si>
  <si>
    <t>Definujte profil:</t>
  </si>
  <si>
    <t>Krycí lišta:</t>
  </si>
  <si>
    <t>objednavky@demos-trade.com</t>
  </si>
  <si>
    <t>zamowienia@demos-trade.com</t>
  </si>
  <si>
    <t>megrendelesek@demos-trade.com</t>
  </si>
  <si>
    <t>mléčná</t>
  </si>
  <si>
    <t>průsvitná</t>
  </si>
  <si>
    <t>bez krycí lišty</t>
  </si>
  <si>
    <t xml:space="preserve"> - propustnost světla</t>
  </si>
  <si>
    <t>Koncovka:</t>
  </si>
  <si>
    <t>Množství koncovek (páry):</t>
  </si>
  <si>
    <t>pár</t>
  </si>
  <si>
    <t>páry</t>
  </si>
  <si>
    <t>LED pásek:</t>
  </si>
  <si>
    <t>Napětí:</t>
  </si>
  <si>
    <t>Typ led pásku:</t>
  </si>
  <si>
    <t>Teplota LED pásku:</t>
  </si>
  <si>
    <t>extra teplá +- 2000K</t>
  </si>
  <si>
    <t>teplá +-3000K</t>
  </si>
  <si>
    <t>neutrální+- 4000K</t>
  </si>
  <si>
    <t>studená +-6500K</t>
  </si>
  <si>
    <t>Svítivost:</t>
  </si>
  <si>
    <t>nízká (do 500 lm/m)</t>
  </si>
  <si>
    <t>střední (do 1000 lm/m)</t>
  </si>
  <si>
    <t>vysoká (do 2000 lm/m)</t>
  </si>
  <si>
    <t>velmi vysoká (nad 2000 lm/m)</t>
  </si>
  <si>
    <t>pozn: pro osvětlení pracovní desky stačí vysoká svítivost</t>
  </si>
  <si>
    <t>Množství (ks):</t>
  </si>
  <si>
    <t xml:space="preserve"> Zadávejte celkovou vnější délku vč. koncovek</t>
  </si>
  <si>
    <t>ks</t>
  </si>
  <si>
    <t>v profilu</t>
  </si>
  <si>
    <t>mimo profil</t>
  </si>
  <si>
    <t>bezdrátové</t>
  </si>
  <si>
    <t>vlastní vypínač na zdi</t>
  </si>
  <si>
    <t>Způsob ovládání sestavy:</t>
  </si>
  <si>
    <t>Vypínač:</t>
  </si>
  <si>
    <t xml:space="preserve">Bude </t>
  </si>
  <si>
    <t>Typ bezdrátového ovladače:</t>
  </si>
  <si>
    <t>kinetické</t>
  </si>
  <si>
    <t>na baterii</t>
  </si>
  <si>
    <t>Jednotka:</t>
  </si>
  <si>
    <t>Počet vypínačů:</t>
  </si>
  <si>
    <t>1 = ovládá celou sestavu</t>
  </si>
  <si>
    <t>2 = ovládá každé rameno zvlášť</t>
  </si>
  <si>
    <t>upozornění: délka sestavy se prodlouží o  vybrané koncovky</t>
  </si>
  <si>
    <t>Ovládání:</t>
  </si>
  <si>
    <t>POZOR! Neplatná kombice - zkontrolujte všechny volby</t>
  </si>
  <si>
    <t>Počet jednotek:</t>
  </si>
  <si>
    <t>Přehled ovladačů</t>
  </si>
  <si>
    <t>zde</t>
  </si>
  <si>
    <t>Souhrn</t>
  </si>
  <si>
    <t>příchyty</t>
  </si>
  <si>
    <t>oboustranná lepící páska</t>
  </si>
  <si>
    <t>vlastní řešení</t>
  </si>
  <si>
    <t>Montáž profilu:</t>
  </si>
  <si>
    <t>Nalepit LED pásek do profilu:</t>
  </si>
  <si>
    <t>Begton</t>
  </si>
  <si>
    <t>Surface</t>
  </si>
  <si>
    <t>Begtin</t>
  </si>
  <si>
    <t>klíčové slovo:</t>
  </si>
  <si>
    <t>barva</t>
  </si>
  <si>
    <t>StrongLumio profil LED Begtin 12, černá elox</t>
  </si>
  <si>
    <t>barva:</t>
  </si>
  <si>
    <t>Kontrola profil vs. délka:</t>
  </si>
  <si>
    <t>Karta profil</t>
  </si>
  <si>
    <t>Délka profilu:</t>
  </si>
  <si>
    <t>_3000_Begtin</t>
  </si>
  <si>
    <t>StrongLumio koncovky k profilu Begtin 12, černá (pár)</t>
  </si>
  <si>
    <t>Karta krycí lišta</t>
  </si>
  <si>
    <t>Koncovky</t>
  </si>
  <si>
    <t>Karta koncovka</t>
  </si>
  <si>
    <t>Délka krycí lišty</t>
  </si>
  <si>
    <t>Corner</t>
  </si>
  <si>
    <t>Cabi</t>
  </si>
  <si>
    <t>Groove</t>
  </si>
  <si>
    <t>kontrola
koncovky:</t>
  </si>
  <si>
    <t>B</t>
  </si>
  <si>
    <t>Vykreslení A</t>
  </si>
  <si>
    <t>1=celý
2=část</t>
  </si>
  <si>
    <t>Vykreslení C</t>
  </si>
  <si>
    <t>je vyplněn tvar sestavy?</t>
  </si>
  <si>
    <t>umístění přerušení rohová sestava:</t>
  </si>
  <si>
    <t>D</t>
  </si>
  <si>
    <t>roh:</t>
  </si>
  <si>
    <t>napájení:</t>
  </si>
  <si>
    <t>C</t>
  </si>
  <si>
    <t>Definuj délky</t>
  </si>
  <si>
    <t>Napájení</t>
  </si>
  <si>
    <t>Krátit profily na míru? 1=ano, 2=ne</t>
  </si>
  <si>
    <t>A:</t>
  </si>
  <si>
    <t>C:</t>
  </si>
  <si>
    <t>B:</t>
  </si>
  <si>
    <t>mm</t>
  </si>
  <si>
    <t>F:</t>
  </si>
  <si>
    <t>Standard</t>
  </si>
  <si>
    <t>COB</t>
  </si>
  <si>
    <t>Typ led pásku</t>
  </si>
  <si>
    <t>standard</t>
  </si>
  <si>
    <t>12V</t>
  </si>
  <si>
    <t>svítivost - klíčové slovo:</t>
  </si>
  <si>
    <t>12V_standard</t>
  </si>
  <si>
    <t>svítivost1</t>
  </si>
  <si>
    <t>Svítivost</t>
  </si>
  <si>
    <t>12V_COB</t>
  </si>
  <si>
    <t>24V_standard</t>
  </si>
  <si>
    <t>svítivost2</t>
  </si>
  <si>
    <t>24V_COB</t>
  </si>
  <si>
    <t>24V_neon</t>
  </si>
  <si>
    <t>svítivost3</t>
  </si>
  <si>
    <t>Teplota</t>
  </si>
  <si>
    <t>StrongLumio LED pásek 12V 4,8W/m (60 LED/m) 8mm, bílá neutrální</t>
  </si>
  <si>
    <t>počet výskytů:</t>
  </si>
  <si>
    <t>led pásek:</t>
  </si>
  <si>
    <t>řídící jednotka:</t>
  </si>
  <si>
    <t>zobrazení menu řídící jednotky:</t>
  </si>
  <si>
    <t>Vypínač</t>
  </si>
  <si>
    <t>zobrazování nabídek:</t>
  </si>
  <si>
    <t>způsob ovládání sestavy:</t>
  </si>
  <si>
    <t>počet vypínačů:</t>
  </si>
  <si>
    <t>StrongLumio RF dálkový vypínač/stmívač 12V/24V</t>
  </si>
  <si>
    <t>vybraná volba</t>
  </si>
  <si>
    <t>zobrazení počtu vyp.</t>
  </si>
  <si>
    <t>zobrazení počtu jednotek</t>
  </si>
  <si>
    <t>StrongLumio přijímač/rozvaděč pro bezdrátové samonapájecí vypínače 12/24V</t>
  </si>
  <si>
    <t>StrongLumio přijímač pro bezdrátové samonapájecí vypínače 12/24V</t>
  </si>
  <si>
    <t>trafo:</t>
  </si>
  <si>
    <t>StrongLumio spínací relé pro bezdrátové samonapájecí vypínače 230V</t>
  </si>
  <si>
    <t>výkon led pásku</t>
  </si>
  <si>
    <t>rezerva výkonu</t>
  </si>
  <si>
    <t>24V</t>
  </si>
  <si>
    <t>Profily</t>
  </si>
  <si>
    <t>Délka</t>
  </si>
  <si>
    <t>Dodání</t>
  </si>
  <si>
    <t>Montáž</t>
  </si>
  <si>
    <t>Barva</t>
  </si>
  <si>
    <t>šířka</t>
  </si>
  <si>
    <t>krycí lišta</t>
  </si>
  <si>
    <t>koncovka1</t>
  </si>
  <si>
    <t>koncovka2</t>
  </si>
  <si>
    <t>délka1</t>
  </si>
  <si>
    <t>délka2</t>
  </si>
  <si>
    <t>délka3</t>
  </si>
  <si>
    <t>délka4</t>
  </si>
  <si>
    <t>285042</t>
  </si>
  <si>
    <t>StrongLumio profil LED Begton 12, bílá lak</t>
  </si>
  <si>
    <t>StrongLumio profil LED Begton 12, biela lak</t>
  </si>
  <si>
    <t>StrongLumio profil LED Begton 12, biały lakier</t>
  </si>
  <si>
    <t>StrongLumio LED profil Begton 12, fehér</t>
  </si>
  <si>
    <t>Stronglumio Profile Led Begton 12, white</t>
  </si>
  <si>
    <t>S*</t>
  </si>
  <si>
    <t>_2000_standard</t>
  </si>
  <si>
    <t>405278</t>
  </si>
  <si>
    <t>230904</t>
  </si>
  <si>
    <t>StrongLumio profil LED Surface 10, bílá lak</t>
  </si>
  <si>
    <t>StrongLumio profil LED Surface 10, biela lak</t>
  </si>
  <si>
    <t>StrongLumio profil LED Surface 10, biały lakier</t>
  </si>
  <si>
    <t>StrongLumio LED profil Surface 10 fehér alu</t>
  </si>
  <si>
    <t>StrongLumio profile LED Surface 10, white</t>
  </si>
  <si>
    <t>516778</t>
  </si>
  <si>
    <t>285023</t>
  </si>
  <si>
    <t>_3000_standard</t>
  </si>
  <si>
    <t>285043</t>
  </si>
  <si>
    <t>StrongLumio profil LED Begton 12, černá elox</t>
  </si>
  <si>
    <t>StrongLumio profil LED Begton 12, čierna elox</t>
  </si>
  <si>
    <t>StrongLumio profil LED Begton 12, czarny anodowany</t>
  </si>
  <si>
    <t>StrongLumio LED profil Begton 12, fekete</t>
  </si>
  <si>
    <t>Stronglumio Profile Led Begton 12, black anodized</t>
  </si>
  <si>
    <t>405279</t>
  </si>
  <si>
    <t>230903</t>
  </si>
  <si>
    <t>StrongLumio profil LED Surface 10, černá elox</t>
  </si>
  <si>
    <t>StrongLumio profil LED Surface 10, čierna elox</t>
  </si>
  <si>
    <t>StrongLumio profil LED Surface 10, czarny andowany</t>
  </si>
  <si>
    <t>StrongLumio LED profil Surface 10 fekete alu</t>
  </si>
  <si>
    <t>StrongLumio profile LED Surface 10, black anodised</t>
  </si>
  <si>
    <t>516777</t>
  </si>
  <si>
    <t>275767</t>
  </si>
  <si>
    <t>StrongLumio profil LED Surface 10, czarny anodowany</t>
  </si>
  <si>
    <t>353541</t>
  </si>
  <si>
    <t>Stronglumio Profile Led Surface 10, black anodized</t>
  </si>
  <si>
    <t>_4050_standard</t>
  </si>
  <si>
    <t>285041</t>
  </si>
  <si>
    <t>StrongLumio profil LED Begton 12, stříbrná elox</t>
  </si>
  <si>
    <t>StrongLumio profil LED Begton 12, strieborná elox</t>
  </si>
  <si>
    <t>StrongLumio profil LED Begton 12, srebrny anodowany</t>
  </si>
  <si>
    <t>StrongLumio LED profil Begton 12, eloxált alu</t>
  </si>
  <si>
    <t>Stronglumio Profile Led Begton 12, silver anodized</t>
  </si>
  <si>
    <t>405277</t>
  </si>
  <si>
    <t>285044</t>
  </si>
  <si>
    <t>130588</t>
  </si>
  <si>
    <t>StrongLumio profil LED Surface 10, stříbrná elox</t>
  </si>
  <si>
    <t>StrongLumio profil LED Surface 10, strieborná elox</t>
  </si>
  <si>
    <t>StrongLumio profil LED Surface 10, srebrny anodowany</t>
  </si>
  <si>
    <t>StrongLumio LED profil Surface 10 eloxált alu</t>
  </si>
  <si>
    <t>StrongLumio profile LED Surface 10, silver anodised</t>
  </si>
  <si>
    <t>_1000_standard</t>
  </si>
  <si>
    <t>516767</t>
  </si>
  <si>
    <t>130589</t>
  </si>
  <si>
    <t xml:space="preserve">StrongLumio LED profil Surface 10 eloxált alu </t>
  </si>
  <si>
    <t>S</t>
  </si>
  <si>
    <t>244328</t>
  </si>
  <si>
    <t>252277</t>
  </si>
  <si>
    <t>285035</t>
  </si>
  <si>
    <t>StrongLumio profil LED Begtin 12, bílá lak</t>
  </si>
  <si>
    <t>StrongLumio profil LED Begtin 12, biela lak</t>
  </si>
  <si>
    <t>StrongLumio profil LED Begtin 12, biały lakier</t>
  </si>
  <si>
    <t>StrongLumio LED profil Begtin, fehér alu</t>
  </si>
  <si>
    <t>Stronglumio Profile Led Begtin 12, white</t>
  </si>
  <si>
    <t>_2000_Begtin</t>
  </si>
  <si>
    <t>285039</t>
  </si>
  <si>
    <t>230906</t>
  </si>
  <si>
    <t>StrongLumio profil LED Groove 10, bílá lak</t>
  </si>
  <si>
    <t>StrongLumio profil LED Groove 10, biela lak</t>
  </si>
  <si>
    <t>StrongLumio profil LED Groove 10, biały lakier</t>
  </si>
  <si>
    <t xml:space="preserve">StrongLumio LED profil Groove 10 fehér alu </t>
  </si>
  <si>
    <t>StrongLumio profile LED Groove 10, white</t>
  </si>
  <si>
    <t>499423</t>
  </si>
  <si>
    <t>516781</t>
  </si>
  <si>
    <t>285024</t>
  </si>
  <si>
    <t>353542</t>
  </si>
  <si>
    <t>Stronglumio Profile Led Groove 10, white</t>
  </si>
  <si>
    <t>285036</t>
  </si>
  <si>
    <t>StrongLumio profil LED Begtin 12, čierna elox</t>
  </si>
  <si>
    <t>StrongLumio profil LED Begtin 12, czarny anodowany</t>
  </si>
  <si>
    <t>StrongLumio LED profil Begtin, fekete alu</t>
  </si>
  <si>
    <t>Stronglumio Profile Led Begtin 12, black anodized</t>
  </si>
  <si>
    <t>_2000__egtin</t>
  </si>
  <si>
    <t>285040</t>
  </si>
  <si>
    <t>537692</t>
  </si>
  <si>
    <t>230905</t>
  </si>
  <si>
    <t>StrongLumio profil LED Groove 10, černá elox</t>
  </si>
  <si>
    <t>StrongLumio profil LED Groove 10,  čierna elox</t>
  </si>
  <si>
    <t>Strong Lumio profil LED Groove 10, czarny andowany</t>
  </si>
  <si>
    <t xml:space="preserve">StrongLumio LED profil Groove 10 fekete alu </t>
  </si>
  <si>
    <t>StrongLumio profile LED Groove 10, black anodised</t>
  </si>
  <si>
    <t>471886</t>
  </si>
  <si>
    <t>516780</t>
  </si>
  <si>
    <t>277173</t>
  </si>
  <si>
    <t>StrongLumio profil LED Groove 10, czarny anodowany</t>
  </si>
  <si>
    <t>353543</t>
  </si>
  <si>
    <t>Stronglumio Profile Led Groove 10, black anodized</t>
  </si>
  <si>
    <t>285034</t>
  </si>
  <si>
    <t>StrongLumio profil LED Begtin 12, stříbrná elox</t>
  </si>
  <si>
    <t>StrongLumio profil LED Begtin 12, strieborná elox</t>
  </si>
  <si>
    <t>StrongLumio profil LED Begtin 12, srebrny anodowany</t>
  </si>
  <si>
    <t>StrongLumio LED profil Begtin, eloxált alu</t>
  </si>
  <si>
    <t>Stronglumio Profile Led Begtin 12, silver anodised</t>
  </si>
  <si>
    <t>285038</t>
  </si>
  <si>
    <t>285037</t>
  </si>
  <si>
    <t>130633</t>
  </si>
  <si>
    <t>StrongLumio profil LED Groove 10, stříbrná elox</t>
  </si>
  <si>
    <t>StrongLumio profil LED Groove 10,  strieborná elox</t>
  </si>
  <si>
    <t>StrongLumio profil LED Groove 10, srebrny anodowany</t>
  </si>
  <si>
    <t>StrongLumio LED profil Groove 10 eloxált alu</t>
  </si>
  <si>
    <t>StrongLumio profile LED Groove 10, silver anodised</t>
  </si>
  <si>
    <t>516779</t>
  </si>
  <si>
    <t>472101</t>
  </si>
  <si>
    <t>130634</t>
  </si>
  <si>
    <t xml:space="preserve">StrongLumio LED profil Groove 10 eloxált alu </t>
  </si>
  <si>
    <t>233553</t>
  </si>
  <si>
    <t>269800</t>
  </si>
  <si>
    <t>230908</t>
  </si>
  <si>
    <t>StrongLumio profil LED Corner 10, bílá lak</t>
  </si>
  <si>
    <t>StrongLumio profil LED Corner 10, biela lak</t>
  </si>
  <si>
    <t>StrongLumio profil LED Corner 10, biały lakier</t>
  </si>
  <si>
    <t xml:space="preserve">StrongLumio LED profil Corner 10 fehér alu </t>
  </si>
  <si>
    <t>StrongLumio profile LED Corner 10, white</t>
  </si>
  <si>
    <t>517412</t>
  </si>
  <si>
    <t>285026</t>
  </si>
  <si>
    <t>353538</t>
  </si>
  <si>
    <t>Stronglumio Profile Led Corner 10, white</t>
  </si>
  <si>
    <t>230907</t>
  </si>
  <si>
    <t>StrongLumio profil LED Corner 10, černá elox</t>
  </si>
  <si>
    <t>StrongLumio profil LED Corner 10, čierna elox</t>
  </si>
  <si>
    <t>StrongLumio profil LED Corner 10, czarny andowany</t>
  </si>
  <si>
    <t xml:space="preserve">StrongLumio LED profil Corner 10 fekete alu </t>
  </si>
  <si>
    <t>StrongLumio profile LED Corner 10, black anodised</t>
  </si>
  <si>
    <t>517342</t>
  </si>
  <si>
    <t>285025</t>
  </si>
  <si>
    <t>StrongLumio profil LED Corner 10, czarny anodowany</t>
  </si>
  <si>
    <t>353539</t>
  </si>
  <si>
    <t>Stronglumio Profile Led Corner 10, black anodised</t>
  </si>
  <si>
    <t>406041</t>
  </si>
  <si>
    <t>StrongLumio profil LED Cabi 12 E, stříbrná elox</t>
  </si>
  <si>
    <t>StrongLumio profil LED Cabi 12 E, strieborná elox</t>
  </si>
  <si>
    <t>StrongLumio profil LED Cabi 12 E, alu anodowane</t>
  </si>
  <si>
    <t>StrongLumio LED profil Cabi12 E, eloxált alu</t>
  </si>
  <si>
    <t>Stronglumio Profile Led Cabi 12 E, silver anodized</t>
  </si>
  <si>
    <t>StrongLumio profilé LED Cabi 12 E, 2000mm alu elox</t>
  </si>
  <si>
    <t>_Cabi</t>
  </si>
  <si>
    <t>285085</t>
  </si>
  <si>
    <t>130636</t>
  </si>
  <si>
    <t>StrongLumio profil LED Corner 10, stříbrná elox</t>
  </si>
  <si>
    <t>StrongLumio profil LED Corner 10, strieborná elox</t>
  </si>
  <si>
    <t>StrongLumio profil LED Corner 10, srebrny anodowany</t>
  </si>
  <si>
    <t>StrongLumio LED profil Corner 10 eloxált alu</t>
  </si>
  <si>
    <t>StrongLumio profile LED Corner 10, silver anodised</t>
  </si>
  <si>
    <t>516791</t>
  </si>
  <si>
    <t>130637</t>
  </si>
  <si>
    <t>StrongLumio profil LED Corner 10, , strieborná elox</t>
  </si>
  <si>
    <t xml:space="preserve">StrongLumio LED profil Corner 10 eloxált alu </t>
  </si>
  <si>
    <t>244329</t>
  </si>
  <si>
    <t>252278</t>
  </si>
  <si>
    <t>198517</t>
  </si>
  <si>
    <t>StrongLumio krycí lišta C k LED profilům naklapávací, průsvitná</t>
  </si>
  <si>
    <t>StrongLumio krycia lišta C k LED profilom naklapavácia, priehľadná</t>
  </si>
  <si>
    <t>StrongLumio listwa maskująca C do LED profili wciskana, przezroczysta</t>
  </si>
  <si>
    <t>StrongLumio takaróprofil átlátszó</t>
  </si>
  <si>
    <t>StrongLumio cover C for LED profiles, Clip-On, transparent</t>
  </si>
  <si>
    <t>221008</t>
  </si>
  <si>
    <t>StrongLumio krycí lišta C k LED profilům naklapávací, mléčná</t>
  </si>
  <si>
    <t>StrongLumio krycia lišta C k LED profilom naklapavácia, mliečna</t>
  </si>
  <si>
    <t>StrongLumio listwa maskująca C do LED profili wciskana, mleczna</t>
  </si>
  <si>
    <t>StrongLumio takaróprofil tejfehér</t>
  </si>
  <si>
    <t>StrongLumio cover strip C for LED profiles, clip-on, milky</t>
  </si>
  <si>
    <t xml:space="preserve"> 75%</t>
  </si>
  <si>
    <t>416707</t>
  </si>
  <si>
    <t>StrongLumio krycia lišta C k LED profilom naklapávacia, čierna</t>
  </si>
  <si>
    <t>StrongLumio Listwa masująca C do profili LED wciskana, czarna</t>
  </si>
  <si>
    <t>StrongLumio takaróprofil fekete</t>
  </si>
  <si>
    <t>Stronglumio Cover C For Led Profiles Clip-On black</t>
  </si>
  <si>
    <t xml:space="preserve"> 40%</t>
  </si>
  <si>
    <t>244352</t>
  </si>
  <si>
    <t>StrongLumio krycia lišta C k LED profilom naklapavácia, priesvitná</t>
  </si>
  <si>
    <t>StrongLumio cover strip C for LED profiles, clip-on, transparent</t>
  </si>
  <si>
    <t xml:space="preserve"> 95%</t>
  </si>
  <si>
    <t>233554</t>
  </si>
  <si>
    <t xml:space="preserve"> 70%</t>
  </si>
  <si>
    <t>416709</t>
  </si>
  <si>
    <t>StrongLumio Listwa masująca C do profili LED nasuwana, czarna</t>
  </si>
  <si>
    <t>252279</t>
  </si>
  <si>
    <t>StrongLumio krycia lišta C k LED profilom naklapavácia, 4100mm, priesvitná</t>
  </si>
  <si>
    <t>269801</t>
  </si>
  <si>
    <t>StrongLumio krycia lišta C k LED profilom naklapavácia, 4100mm mliečna</t>
  </si>
  <si>
    <t>416710</t>
  </si>
  <si>
    <t>StrongLumio krycí lišta C k LED profilům naklapávací, černá</t>
  </si>
  <si>
    <t>StrongLumio krycia lišta C k LED profilom naklapávacia, 4100mm čierna</t>
  </si>
  <si>
    <t>Stronglumio Cover C For Led Profiles Clip-On 4100Mm black</t>
  </si>
  <si>
    <t>198516</t>
  </si>
  <si>
    <t>StrongLumio cover C for LED orofiles, Clip-On, transparent</t>
  </si>
  <si>
    <t>221007</t>
  </si>
  <si>
    <t>StrongLumio krycia lišta C k LED profilom naklapavácia, 1000mm, mliečna</t>
  </si>
  <si>
    <t>285052</t>
  </si>
  <si>
    <t>StrongLumio krycí lišta J Begtin/Begton 12 naklapávací/násuvná, mléčná</t>
  </si>
  <si>
    <t>StrongLumio krycia lišta J Begtin/Begton 12 naklapavácia/násuvná, mliečna</t>
  </si>
  <si>
    <t>StrongLumio listwa maskująca Begtin/Begton 12 wciskana/nasuwana, mleczna</t>
  </si>
  <si>
    <t>StrongLumio takaróprofil Begtin/Begton rápattintható/kihúzható tejfehér</t>
  </si>
  <si>
    <t>Stronglumio Cover J Begtin/Begton 12 Clip-On/Slide-In, milky</t>
  </si>
  <si>
    <t>_2000__Begtin</t>
  </si>
  <si>
    <t>285053</t>
  </si>
  <si>
    <t>StrongLumio krycí lišta J Begtin/Begton 12 naklapávací/násuvná, průsvitná</t>
  </si>
  <si>
    <t>StrongLumio krycia lišta J Begtin/Begton 12, naklap./násuvná, priesvitná</t>
  </si>
  <si>
    <t>StrongLumio list.mask Begtin/Begton 12 wciskana/nasuwana, przezroczysta</t>
  </si>
  <si>
    <t>StrongLumio takaróprofil Begtin/Begton 12 rápattintható/kihúzható átlátszó</t>
  </si>
  <si>
    <t>Stronglumio Cover J Begtin/Begton 12 Clip-On/Slide-In, transparent</t>
  </si>
  <si>
    <t xml:space="preserve"> 90%</t>
  </si>
  <si>
    <t>285055</t>
  </si>
  <si>
    <t>StrongLumio takaróprofil Begtin/Begton 12 felhajtható/kihúzható átlátszó</t>
  </si>
  <si>
    <t>285083</t>
  </si>
  <si>
    <t>StrongLumio krycí lišta E k profilu Cabi naklapávací/násuvná, průsvitná</t>
  </si>
  <si>
    <t>StrongLumio krycia lišta E k profilu Cabi naklap./násuvná, priesvitná</t>
  </si>
  <si>
    <t>StrongLumio listwa maskująca E do profilu Cabi nasuwana, przezroczysta</t>
  </si>
  <si>
    <t>StrongLumio takaróprofil Cabi LED profilhoz pattintós/befűzős átlátszó</t>
  </si>
  <si>
    <t>Stronglumio Cover E For Profile Cabi Clip-On/Slide-In, transparent</t>
  </si>
  <si>
    <t>285084</t>
  </si>
  <si>
    <t>StrongLumio krycí lišta E k profilu Cabi naklapávací/násuvná, mléčná</t>
  </si>
  <si>
    <t xml:space="preserve">StrongLumio krycia lišta E k profilu Cabi naklápavacia/výsuvná mliečna </t>
  </si>
  <si>
    <t>StrongLumio listwa maskująca E do profilu Cabi nasuwana, mleczna</t>
  </si>
  <si>
    <t>StrongLumio takaróprofil Cabi LED profilhoz pattintós/befűzős tejfehér</t>
  </si>
  <si>
    <t>Stronglumio Cover E For Profile Cabi Clip-On/Slide-In, milky</t>
  </si>
  <si>
    <t>StrongLumio koncovky k profilu Surface 10 gen2 bílá (pár)</t>
  </si>
  <si>
    <t>StrongLumio koncovky k lište Surface 10 gen2 biela (pár)</t>
  </si>
  <si>
    <t>StrongLumio końcówki do listwy Surface 10 gen2 białe (para)</t>
  </si>
  <si>
    <t>StrongLumio végzárók Surface 10 profilhoz gen2 fehér (pár)</t>
  </si>
  <si>
    <t>StrongLumio koncovky k profilu Begton 12 oblá, bílá (pár)</t>
  </si>
  <si>
    <t>StrongLumio koncovky k profilu Begton 12 oblá, biela (pár)</t>
  </si>
  <si>
    <t>StrongLumio końcówki do listwy Begton 12 okrągłe, białe (para)</t>
  </si>
  <si>
    <t>StrongLumio végzáró LED profilhoz Begton kerekített alakú fehér (pár)</t>
  </si>
  <si>
    <t>StrongLumio koncovky k profilu Begton 12 oblá, černá (pár)</t>
  </si>
  <si>
    <t>StrongLumio koncovky k profilu Begton 12 oblá, čierna (pár)</t>
  </si>
  <si>
    <t>StrongLumio końcówki do listwy Begton 12 okrągłe, czarne (para)</t>
  </si>
  <si>
    <t>StrongLumio végzáró LED profilhoz Begton kerekített alakú fekete (pár)</t>
  </si>
  <si>
    <t>StrongLumio koncovky k profilu Surface 10 gen2 černá (pár)</t>
  </si>
  <si>
    <t>StrongLumio koncovky k lište Surface 10 gen2 čierna (pár)</t>
  </si>
  <si>
    <t>StrongLumio końcówki do listwy Surface 10 gen2 czarne (para)</t>
  </si>
  <si>
    <t>StrongLumio végzárók Surface 10 profilhoz gen2 fekete (pár)</t>
  </si>
  <si>
    <t>StrongLumio koncovky k profilu Begton 12 oblá, šedá (pár)</t>
  </si>
  <si>
    <t>StrongLumio końcówki do listwy Begton 12 okrągłe, szare (para)</t>
  </si>
  <si>
    <t>StrongLumio végzáró LED profilhoz Begton kerekített alakú szürke (pár)</t>
  </si>
  <si>
    <t>StrongLumio koncovky k profilu Groove 10 gen2 kulatá bílá (pár)</t>
  </si>
  <si>
    <t>StrongLumio koncovky k lište Groove 10 gen2 biela guľatá (pár)</t>
  </si>
  <si>
    <t>StrongLumio końcówki do profilu Groove 10 gen2 białe okrągłe (para)</t>
  </si>
  <si>
    <t>StrongLumio végzárók Groove 10 profilhoz gen2 kerekített fehér (pár)</t>
  </si>
  <si>
    <t>StrongLumio koncovky k profilu Groove 10 gen2 kulatá černá (pár)</t>
  </si>
  <si>
    <t>StrongLumio koncovky k lište Groove 10 gen2 čierná guľatá (pár)</t>
  </si>
  <si>
    <t>StrongLumio końcówki do listwy Groove 10 gen2 czarne (para)</t>
  </si>
  <si>
    <t>StrongLumio végzárók Groove 10 profilhoz gen2 kerekített fekete (pár)</t>
  </si>
  <si>
    <t>StrongLumio koncovky k profilu Groove 10 rovná šedá (pár)</t>
  </si>
  <si>
    <t>StrongLumio koncovky k lište Groove 10 šedá rovná (pár)</t>
  </si>
  <si>
    <t>StrongLumio końcówki do listwy Groove 10 szara prosta (para)</t>
  </si>
  <si>
    <t>StrongLumio végzárók Groove 10 profilhoz egyenes szürke (pár)</t>
  </si>
  <si>
    <t>StrongLumio koncovky k profilu Surface 10 gen2 šedá (pár)</t>
  </si>
  <si>
    <t>StrongLumio Koncovky k lište Surface 10 gen2 šedá (pár)</t>
  </si>
  <si>
    <t>StrongLumio końcówki do listwy Surface 10 gen2 szare (para)</t>
  </si>
  <si>
    <t>StrongLumio végzárók Surface 10 profilhoz gen2 szürke (pár)</t>
  </si>
  <si>
    <t>StrongLumio koncovky k profilu Begtin 12, bílá (pár)</t>
  </si>
  <si>
    <t>StrongLumio koncovky k profilu Begtin 12, biela (pár)</t>
  </si>
  <si>
    <t>StrongLumio końcówki do profilu Begtin 12, białe (para)</t>
  </si>
  <si>
    <t>StrongLumio végzáró LED profilhoz Begtin fehér (pár)</t>
  </si>
  <si>
    <t>StrongLumio koncovky k profilu Groove 10 rovná (pár) bílá</t>
  </si>
  <si>
    <t>StrongLumio koncovky k profilu Groove 10 rovná (pár) biela</t>
  </si>
  <si>
    <t>StrongLumio końcówki do listwy Groove 10 proste (para) białe</t>
  </si>
  <si>
    <t>StrongLumio végzárók Groove 10 profilhoz egyenes fehér (pár)</t>
  </si>
  <si>
    <t>StrongLumio Koncovky k profilu Begtin 12, čierna (pár)</t>
  </si>
  <si>
    <t>StrongLumio końcówki do profilu Begtin 12, czarne (para)</t>
  </si>
  <si>
    <t>StrongLumio végzáró LED profilhoz Begtin fekete (pár)</t>
  </si>
  <si>
    <t>StrongLumio koncovky k profilu Groove 10 rovná černá (pár)</t>
  </si>
  <si>
    <t>StrongLumio koncovky k lište Groove 10 čierná rovná (pár)</t>
  </si>
  <si>
    <t>StrongLumio końcówki do listwy Groove 10 czarne proste (para)</t>
  </si>
  <si>
    <t>StrongLumio végzárók Groove 10 profilhoz egyenes fekete (pár)</t>
  </si>
  <si>
    <t>StrongLumio koncovky k profilu Begtin 12, šedá (pár)</t>
  </si>
  <si>
    <t>StrongLumio końcówki do profilu Begtin 12, szare (para)</t>
  </si>
  <si>
    <t>StrongLumio végzáró LED profilhoz Begtin szürke (pár)</t>
  </si>
  <si>
    <t>StrongLumio koncovky k profilu Groove 10 gen2 kulatá šedá (pár)</t>
  </si>
  <si>
    <t>StrongLumio koncovky k lište Groove 10 gen2 šedá guľatá (pár)</t>
  </si>
  <si>
    <t>StrongLumio końcówki do profilu Groove 10 gen2 szare (para)</t>
  </si>
  <si>
    <t>StrongLumio végzárók Groove 10 profilhoz gen2 kerekített szürke (pár)</t>
  </si>
  <si>
    <t>StrongLumio koncovky k profilu Corner 10 gen2 bílá (pár)</t>
  </si>
  <si>
    <t>StrongLumio koncovky k lište Corner 10 gen2 biela (pár)</t>
  </si>
  <si>
    <t>StrongLumio końcówki do listwy Corner 10 gen2 białe (para)</t>
  </si>
  <si>
    <t>StrongLumio végzárók Corner 10 profilhoz gen2 fehér (pár)</t>
  </si>
  <si>
    <t>StrongLumio koncovky k profilu Corner 10 gen2 černá (pár)</t>
  </si>
  <si>
    <t>StrongLumio koncovky k lište Corner 10 gen2 čierna (pár)</t>
  </si>
  <si>
    <t>StrongLumio końcówki do listwy Corner 10 gen2 czarne (para)</t>
  </si>
  <si>
    <t>StrongLumio végzárók Corner 10 profilhoz gen2 fekete (pár)</t>
  </si>
  <si>
    <t>StrongLumio koncovky k profilu Cabi, šedá (pár)</t>
  </si>
  <si>
    <t>StrongLumio końcówki do listwy Cabi, szare (para)</t>
  </si>
  <si>
    <t>StrongLumio végzáró LED profilhoz Cabi szürke (pár)</t>
  </si>
  <si>
    <t>StrongLumio koncovky k profilu Corner 10 gen2 šedá (pár)</t>
  </si>
  <si>
    <t>StrongLumio koncovky k lište Corner 10 gen2 šedá (pár)</t>
  </si>
  <si>
    <t>StrongLumio końcówki do listwy Corner 10 gen2 szare (para)</t>
  </si>
  <si>
    <t>StrongLumio végzárók Corner 10 profilhoz gen2 szürke (pár)</t>
  </si>
  <si>
    <t>klíčové slovo</t>
  </si>
  <si>
    <t>Napětí</t>
  </si>
  <si>
    <t>Výkon</t>
  </si>
  <si>
    <t>Typ</t>
  </si>
  <si>
    <t>Šířka</t>
  </si>
  <si>
    <t>StrongLumio LED pásek COB 12V 10W/m (480 LED/m) 8mm, bílá neutrální</t>
  </si>
  <si>
    <t>StrongLumio LED pásik COB 12V 10W/m (480 LED/m) 8mm, bíela neutrálna</t>
  </si>
  <si>
    <t>StrongLumio LED taśma COB 12V 10W/m (480 LED/m) - 8mm - neutralny biały</t>
  </si>
  <si>
    <t>StrongLumio LED szalag COB 12V 10W/m (480 LED/m) - 8mm - semleges fehér</t>
  </si>
  <si>
    <t>StrongLumio LED strip COB 12V 10W/m (480 LED/m), 8mm, white neutral</t>
  </si>
  <si>
    <t>8mm</t>
  </si>
  <si>
    <t>StrongLumio LED pásek free cut COB 12V 12W/m (528 LED/m) 8mm, bílá neutrální</t>
  </si>
  <si>
    <t>StrongLumio LED pásik free cut COB 12V 12W/m (528 led/m)-8mm - biela neutrálna</t>
  </si>
  <si>
    <t>StrongLumio LED taśma free cut COB 12V 12W/m (528 LED/m) - 8mm - neutralny biały</t>
  </si>
  <si>
    <t>StrongLumio LED szalag free cut COB 12V 12W/m (528 LED/m) - 8mm - semleges fehér</t>
  </si>
  <si>
    <t>StrongLumio free-cut LED strip COB 12V 12W/m (528 LED/m), 8 mm, white neutral</t>
  </si>
  <si>
    <t>StrongLumio LED pásek COB 12V 10W/m (480 LED/m) 8mm, bílá teplá</t>
  </si>
  <si>
    <t>StrongLumio LED pásik COB 12V 10W/m (480 LED/m) 8mm, bíela teplá</t>
  </si>
  <si>
    <t>StrongLumio LED taśma COB 12V 10W/m (480 LED/m) - 8mm - ciepły biały</t>
  </si>
  <si>
    <t>StrongLumio LED szalag COB 12V 10W/m (480 LED/m) - 8mm - meleg fehér</t>
  </si>
  <si>
    <t>StrongLumio LED strip COB 12V 10W/m (480 LED/m), 8mm,warm white</t>
  </si>
  <si>
    <t>StrongLumio LED pásek free cut COB 12V 12W/m (528 LED/m) 8mm, bílá teplá</t>
  </si>
  <si>
    <t>StrongLumio LED pásik free cut 12V COB 12W/m (528 LED/m) 8mm, teplá biela</t>
  </si>
  <si>
    <t>StrongLumio LED taśma free cut COB 12V 12W/m (528 LED/m) - 8mm - ciepły biały</t>
  </si>
  <si>
    <t>StrongLumio LED szalag free cut 12V COB 12W/m (528 LED/m) - 8mm - meleg fehér</t>
  </si>
  <si>
    <t>StrongLumio LED strip free-cut 12V COB 12W/m (528 LED/m), 8 mm, warm white</t>
  </si>
  <si>
    <t>StrongLumio LED pásek COB 12V 10W/m (480 LED/m) 8mm, bílá studená</t>
  </si>
  <si>
    <t>StrongLumio LED pásik COB 12V 10W/m (480 LED/m) 8mm, bíela studená</t>
  </si>
  <si>
    <t>StrongLumio LED taśma COB 12V 10W/m (480 LED/m) - 8mm - zimny biały</t>
  </si>
  <si>
    <t>StrongLumio LED szalag COB 12V 10W/m (480 LED/m) - 8mm - hideg fehér</t>
  </si>
  <si>
    <t>StrongLumio LED strip COB 12V 10W/m (480 LED/m), 8mm, cold white</t>
  </si>
  <si>
    <t>StrongLumio LED pásek free cut COB 12V 12W/m (528 LED/m) 8mm, bílá studená</t>
  </si>
  <si>
    <t>StrongLumio LED pásik free cut COB 12V 12W/m (528 LED/m) - 8mm - studená biela</t>
  </si>
  <si>
    <t>StrongLumio Taśma LED free cut COB 12V 12W/m (528 LED/m) 8mm, biała zimna</t>
  </si>
  <si>
    <t>StrongLumio LED szalag free cut COB 12V 12W/m (528 LED/m) - 8mm - hideg fehér</t>
  </si>
  <si>
    <t>StrongLumio LED strip free-cut COB 12V 12W/m (528 LED/m), 8 mm, cold white</t>
  </si>
  <si>
    <t>StrongLumio LED pásek COB 24V 8W/m (320 LED/m) 5mm, bílá teplá</t>
  </si>
  <si>
    <t>StrongLumio LED pásik 24V COB 8W/m (320 LED/m) 5mm, teplá biela</t>
  </si>
  <si>
    <t>StrongLumio taśma LED COB 24V 8W/m (320 LED/m) - 5mm -ciepły biały</t>
  </si>
  <si>
    <t>StrongLumio LED szalag, COB 24V 8W/m (320 LED/m) - 5mm - meleg fehér</t>
  </si>
  <si>
    <t>StrongLumio LED strip COB 24V 8W/m (320 LED/m), 5mm, warm white</t>
  </si>
  <si>
    <t>5mm</t>
  </si>
  <si>
    <t>StrongLumio LED pásek free cut COB 24V 12W/m (528 LED/m) 8mm, bílá teplá</t>
  </si>
  <si>
    <t>StrongLumio LED pásik free cut 24V COB 12W/m (528 LED/m) 8mm, teplá biela</t>
  </si>
  <si>
    <t>StrongLumio LED pasek free cut COB 24V 12W/m (528 LED/m) 8 mm, biała ciepła</t>
  </si>
  <si>
    <t>StrongLumio LED szalag, free cut COB 24V 12W/m (528 LED/m) - 8mm - meleg fehér</t>
  </si>
  <si>
    <t>StrongLumio LED strip free-cut COB 24V 12W/m (528 LED/m), 8mm, warm white</t>
  </si>
  <si>
    <t>StrongLumio LED pásek COB 24V 14W/m (512 LED/m) 10mm, bílá teplá</t>
  </si>
  <si>
    <t>StrongLumio led pásik COB 24V 14W/m (512 led/m) - 10mm - teplá biela</t>
  </si>
  <si>
    <t>StrongLumio taśma LED 24V COB 14W/m (512 LED/m) - 10mm ciepły biały</t>
  </si>
  <si>
    <t>StrongLumio LED szalag, COB 24V 14W/m (512 LED/m), 10mm, meleg fehér</t>
  </si>
  <si>
    <t>StrongLumio LED strip COB 24V 14W/m (512 LED/m), 10mm, warm white</t>
  </si>
  <si>
    <t>10mm</t>
  </si>
  <si>
    <t>StrongLumio LED pásek COB 24V 12W/m (480 LED/m) 8mm, bílá teplá</t>
  </si>
  <si>
    <t>StrongLumio LED pásik COB 24V 12W/m (480 LED/m) 8mm, biela teplá</t>
  </si>
  <si>
    <t>StrongLumio taśma LED 24V COB 12W/m (480 LED/m) - 8mm ciepły biały</t>
  </si>
  <si>
    <t>StrongLumio LED szalag, COB 24V 12W/m (480 LED/m) - 8mm - meleg fehér</t>
  </si>
  <si>
    <t>StrongLumio LED strip COB 24V 12W/m (480 LED/m), 8mm,warm white</t>
  </si>
  <si>
    <t>StrongLumio LED pásek COB 24V 12W/m (480 LED/m) 8mm, extra bílá teplá</t>
  </si>
  <si>
    <t>StrongLumio LED pásik COB 24V 12W/m (480 LED/m) - 8mm,extra teplá biela</t>
  </si>
  <si>
    <t>StrongLumio LED pasek COB 24V 12W/m (480 LED/m) 8 mm, ekstra biała ciepła</t>
  </si>
  <si>
    <t>StrongLumio LED szalag, 24V COB 12W/m (480 LED/m) - 8mm - extra meleg fehér</t>
  </si>
  <si>
    <t>StrongLumio LED strip 24V COB 12W/m (480 LED/m) - 8mm -  extra warm white</t>
  </si>
  <si>
    <t>StrongLumio LED pásek free cut COB 24V 12W/m (528 LED/m) 8mm, bílá neutrální</t>
  </si>
  <si>
    <t>StrongLumio LED pásik free cut COB 24V 12W/m (528 led/m)-8mm - biela neutrálna</t>
  </si>
  <si>
    <t>StrongLumio taśma LED Free Cut COB 24V 12W/m (528 LED/m) 8 mm, neutralna biel</t>
  </si>
  <si>
    <t>StrongLumio LED szalag, free cut COB 24V 12W/m (528 LED/m) - 8mm semleges fehér</t>
  </si>
  <si>
    <t>StrongLumio free-cut LED strip COB 24V 12W/m (528 LED/m), 8mm, white neutral</t>
  </si>
  <si>
    <t>StrongLumio LED pásek COB 24V 8W/m (320 LED/m) 5mm, bílá neutrální</t>
  </si>
  <si>
    <t>StrongLumio LED pásik 24V COB 8W/m (320 LED/m) 5mm, biela neutrálna</t>
  </si>
  <si>
    <t>StrongLumio taśma LED COB 24V 8W/m (320 LED/m) - 5mm -neutralny biały</t>
  </si>
  <si>
    <t>StrongLumio LED szalag, COB 24V 8W/m (320 LED/m) - 5mm semleges fehér</t>
  </si>
  <si>
    <t>StrongLumio LED strip COB 24V 8W/m (320 LED/m), 5mm, white neutral</t>
  </si>
  <si>
    <t>StrongLumio LED pásek COB 24V 14W/m (512 LED/m) 10mm, bílá neutrální</t>
  </si>
  <si>
    <t>StrongLumio LED pásek COB 24V 14W/m (512 LED/m) 10mm, biela neutrálna</t>
  </si>
  <si>
    <t>StrongLumio taśma LED 24V COB 14W/m (512 LED/m) - 10mm neutralny biały</t>
  </si>
  <si>
    <t>StrongLumio LED szalag, COB 24V 14W/m (512 LED/m), 10mm, semleges fehér</t>
  </si>
  <si>
    <t>StrongLumio LED strip COB 24V 14W/m (512 LED/m), 10mm, white neutral</t>
  </si>
  <si>
    <t>StrongLumio LED pásek COB 24V 12W/m (480 LED/m) 8mm, bílá neutrální</t>
  </si>
  <si>
    <t>StrongLumio LED pásik COB 24V 12W/m (480 LED/m) 8mm, biela neutrálna</t>
  </si>
  <si>
    <t>StrongLumio taśma LED 24V COB 12W/m (480 LED/m) - 8mm neutralny biały</t>
  </si>
  <si>
    <t>StrongLumio LED szalag, COB 24V 12W/m (480 LED/m) - 8mm semleges fehér</t>
  </si>
  <si>
    <t>StrongLumio LED strip COB 24V 12W/m (480 LED/m), 8mm,white neutral</t>
  </si>
  <si>
    <t>StrongLumio LED pásek digitální COB 24V 12W/m (360 LED/m) 10mm, bílá neutrální</t>
  </si>
  <si>
    <t>StrongLumio LED pásik digitálny COB 24V 12W/m (360 LED/m) 10mm,biela neutrálna</t>
  </si>
  <si>
    <t>StrongLumio LED pásek COB 24V 8W/m (320 LED/m) 5mm, bílá studená</t>
  </si>
  <si>
    <t>StrongLumio LED pásik 24V COB 8W/m (320 LED/m) 5mm, studená biela</t>
  </si>
  <si>
    <t>StrongLumio LED pasek COB 24V 8W/m (320 LED/m) 5 mm, biała zimna</t>
  </si>
  <si>
    <t>StrongLumio LED szalag, COB 24V 8W/m (320 LED/m) - 5mm hideg fehér</t>
  </si>
  <si>
    <t>StrongLumio LED strip COB 24V 8W/m (320 LED/m), 5mm, cold white</t>
  </si>
  <si>
    <t>StrongLumio LED pásek free cut COB 24V 12W/m (528 LED/m) 8mm, bílá studená</t>
  </si>
  <si>
    <t>StrongLumio LED pásik free cut 24V COB 12W/m (528 LED/m) - 8mm - studená biela</t>
  </si>
  <si>
    <t>StrongLumio taśma LED free cut COB 24V 12W/m (528 LED/m) - 8mm -zimny biały</t>
  </si>
  <si>
    <t>StrongLumio LED szalag, free cut COB 24V 12W/m (528 LED/m) - 8mm hideg fehér</t>
  </si>
  <si>
    <t>StrongLumio LED strip free-cut COB 24V 12W/m (528 LED/m), 8mm, cold white</t>
  </si>
  <si>
    <t>StrongLumio LED pásek COB 24V 14W/m (512 LED/m) 10mm, bílá studená</t>
  </si>
  <si>
    <t>StrongLumio led pásik COB 24V 14W/m (512 led/m) - 10mm - studená biela</t>
  </si>
  <si>
    <t>StrongLumio taśma LED 24V COB 14W/m (512 LED/m) - 10mm zimny biały</t>
  </si>
  <si>
    <t>StrongLumio LED szalag, COB 24V 14W/m (512 LED/m), 10mm, hideg fehér</t>
  </si>
  <si>
    <t>StrongLumio LED strip COB 24V 14W/m (512 LED/m), 10mm, cold white</t>
  </si>
  <si>
    <t>StrongLumio LED pásek COB 24V 12W/m (480 LED/m) 8mm, bílá studená</t>
  </si>
  <si>
    <t>StrongLumio LED pásik COB 24V 12W/m (480 LED/m) 8mm, biela studená</t>
  </si>
  <si>
    <t>StrongLumio taśma LED 24V COB 12W/m (480 LED/m) - 8mm zimny biały</t>
  </si>
  <si>
    <t>StrongLumio LED szalag, COB 24V 12W/m (480 LED/m) - 8mm hideg fehér</t>
  </si>
  <si>
    <t>StrongLumio LED strip COB 24V 12W/m (480 LED/m), 8mm,cold white</t>
  </si>
  <si>
    <t>StrongLumio LED pásek vysoká svítivost 24V 12W/m (160 LED/m) 8mm, bílá neutrální</t>
  </si>
  <si>
    <t>StrongLumio led pásik vysoká svietivosť 24V 12W/m(160 led/m)8mm, biela neutrálna</t>
  </si>
  <si>
    <t>StrongLumio taśma LED o wys. jasności 24V 12W/m (160 LED/m) 8mm, biała neutralna</t>
  </si>
  <si>
    <t>StrongLumio LED szalag, nagy fényerő, 24V 12W/m (160 LED/m), 8 mm, semleges fehé</t>
  </si>
  <si>
    <t>StrongLumio LED strip high-brightness 24V 12W/m (160 LED/m) 8mm, white neutral</t>
  </si>
  <si>
    <t>StrongLumio LED pásek vysoká svítivost 24V 20W/m(240 LED/m) 10mm, bílá neutrální</t>
  </si>
  <si>
    <t>StrongLumio LED pásik vysoká svietivosť 24V 20W/m(240 LED/m)10mm,biela neutrálna</t>
  </si>
  <si>
    <t>StrongLumio LED – wysoka jasność, 24V, 20W/m, 240 LED/m, 10 mm, biała neutralna</t>
  </si>
  <si>
    <t>StrongLumio LED strip high efficiency 24V 20W/m (240 LED/m), 10 mm,neutral white</t>
  </si>
  <si>
    <t>StrongLumio LED pásek neon 4x10 mm 24V 9,6W (168 LED/m) IP67 bílá teplá</t>
  </si>
  <si>
    <t>StrongLumio LED pásik neon 4x10 mm, 168 LED/m biela teplá</t>
  </si>
  <si>
    <t>StrongLumio  taśma LED neon 4x10 mm, 24V 9,6W (168 LED/m) IP67 biały ciepły</t>
  </si>
  <si>
    <t>StrongLumio LED szalag neon 4x10 mm, 168 LED/m meleg fehér</t>
  </si>
  <si>
    <t>StrongLumio LED strip neon 4x10 mm 24V 9,6W (168 LED/m) IP67 white warm</t>
  </si>
  <si>
    <t>neon</t>
  </si>
  <si>
    <t>do drážky</t>
  </si>
  <si>
    <t>StrongLumio LED pásek neon "T" 4x10 mm 24V 9,6W (168 LED/m) IP67 bílá teplá</t>
  </si>
  <si>
    <t>StrongLumio LED pásik neon 4x10 mm tvar "T", 168 LED/m biela teplá</t>
  </si>
  <si>
    <t>StrongLumio  taśma LED  neon "T" 4x10 mm 24V 9,6W (168 LED/m) IP67 ciepły biały</t>
  </si>
  <si>
    <t>StrongLumio LED szalag neon 4x10 mm „T” alakú, 168 LED/m meleg fehér</t>
  </si>
  <si>
    <t>StrongLumio LED strip neon "T" 4x10 mm 24V 9,6W (168 LED/m) IP67 white warm</t>
  </si>
  <si>
    <t>StrongLumio LED pásek neon 6x12 mm 24V 9,6W (168 LED/m) IP67 bílá teplá</t>
  </si>
  <si>
    <t>StrongLumio LED pásik neon 6x12 mm, 168 LED/m biela teplá</t>
  </si>
  <si>
    <t>StrongLumio taśma LED neon 6x12 mm 24V 9,6W (168 LED/m) IP67, ciepła biel</t>
  </si>
  <si>
    <t>StrongLumio LED neon szalag 6x12 mm 24V 9,6W (168 LED/m) IP67 fehér meleg</t>
  </si>
  <si>
    <t>StrongLumio LED neon strip, 6x12 mm 24V 9,6W (168 LED/m) IP67, warm white</t>
  </si>
  <si>
    <t>StrongLumio LED pásek 12V 4,8W/m (60 LED/m) 8mm, bílá studená</t>
  </si>
  <si>
    <t>StrongLumio LED pásik 4,8W/m 12V (60 LED/m) 8mm, biela studená</t>
  </si>
  <si>
    <t>StrongLumio taśma LED 4,8W/m 12V (60 LED/m) 8mm, zimna biała</t>
  </si>
  <si>
    <t>StrongLumio LED szalag 12V 4,8W/m (60 LED/m) 8mm fehér hideg</t>
  </si>
  <si>
    <t>StrongLumio LED strip 12V 4,8W/m (60 LED/m), 8mm, cold white</t>
  </si>
  <si>
    <t>StrongLumio LED pásek 12V 4,8W/m (60 LED/m) 8mm, bílá teplá</t>
  </si>
  <si>
    <t>StrongLumio LED pásik 4,8W/m 12V (60 LED/m) 8mm, biela teplá</t>
  </si>
  <si>
    <t>StrongLumio taśma LED 4,8W/m 12V (60 LED/m) 8mm, ciepła biała</t>
  </si>
  <si>
    <t>StrongLumio LED szalag, 12V 4,8W/m (60 LED/m) 8mm, meleg fehér</t>
  </si>
  <si>
    <t>StrongLumio LED strip 12V 4,8W/m (60 LED/m), 8mm, warm white</t>
  </si>
  <si>
    <t>StrongLumio LED pásek 12V 9,6W/m (120 LED/m) 8mm, bílá studená</t>
  </si>
  <si>
    <t>StrongLumio LED pásik 9,6W/m 12V (120 LED/m) 8mm, biela studená</t>
  </si>
  <si>
    <t>StrongLumio taśma LED 9,6W/m 12V (120 LED/m) 8mm, zimna biała</t>
  </si>
  <si>
    <t>StrongLumio LED szalag, 12V 9,6W/m (120 LED/m) 8mm, hideg fehér</t>
  </si>
  <si>
    <t>StrongLumio LED strip 12V 9,6W/m (120 LED/m), 8mm, cold white</t>
  </si>
  <si>
    <t>StrongLumio LED pásek 12V 12W/m (60 LED/m) 8mm, bílá studená</t>
  </si>
  <si>
    <t>StrongLumio LED pásik 12W/m 12V (60 LED/m) 8 mm, biela studená</t>
  </si>
  <si>
    <t>StrongLumio taśma LED 12W/m 12V (60 LED/m) 8mm, zimna biała</t>
  </si>
  <si>
    <t>StrongLumio LED szalag, 12V 12W/m (60 LED/m) 8mm, hideg fehér</t>
  </si>
  <si>
    <t>StrongLumio LED strip 12V 12W/m (120 LED/m), 8mm, cold white</t>
  </si>
  <si>
    <t>StrongLumio LED pásek 12V 9,6W/m (120 LED/m) 8mm, bílá teplá</t>
  </si>
  <si>
    <t>StrongLumio LED pásik 9,6W/m 12V (120 LED/m) 8 mm, biela teplá</t>
  </si>
  <si>
    <t>StrongLumio taśma LED 9,6W/m 12V (120 LED/m) 8mm, ciepła biała</t>
  </si>
  <si>
    <t>StrongLumio LED szalag, 12V 9,6W/m (120 LED/m) 8mm, meleg fehér</t>
  </si>
  <si>
    <t>StrongLumio LED strip 12V 9,6W/m (120 LED/m), 8mm, warm white</t>
  </si>
  <si>
    <t>StrongLumio LED pásek 12V 12W/m (60 LED/m) 8mm, bílá teplá</t>
  </si>
  <si>
    <t>StrongLumio LED pásik 12W/m 12V (60 LED/m) 8 mm, biela teplá</t>
  </si>
  <si>
    <t>StrongLumio taśma LED 12W/m 12V (60 LED/m) 8mm, ciepła biała</t>
  </si>
  <si>
    <t>StrongLumio LED szalag, 12V 12W/m (60 LED/m) 8mm, meleg fehér</t>
  </si>
  <si>
    <t>StrongLumio LED strip 12V 12W/m (120 LED/m), 8mm, warm white</t>
  </si>
  <si>
    <t>StrongLumio LED pásik 12V 4,8W/m (60 LED/m) 8mm, biela neutrálna</t>
  </si>
  <si>
    <t>StrongLumio taśma LED 4,8W/m 12V (60 LED/m) 8mm, biała neutralna</t>
  </si>
  <si>
    <t>StrongLumio LED szalag, 12V 4,8W/m (60 LED/m) 8mm, semleges fehér</t>
  </si>
  <si>
    <t>StrongLumio LED strip 12V 4,8W/m (60 LED/m), 8mm, white neutral</t>
  </si>
  <si>
    <t>StrongLumio LED pásek 12V 9,6W/m (120 LED/m) 8mm, bílá neutrální</t>
  </si>
  <si>
    <t>StrongLumio LED pásik 12V 9,6W/m (120 LED/m) 8mm, biela neutrálna</t>
  </si>
  <si>
    <t>StrongLumio taśma LED 9,6W/m 12V (120 LED/m) 8mm, biała neutralna</t>
  </si>
  <si>
    <t>StrongLumio LED szalag, 12V 9,6W/m (120 LED/m) 8mm, semleges fehér</t>
  </si>
  <si>
    <t>StrongLumio LED strip 12V 9,6W/m (120 LED/m), 8mm, white neutral</t>
  </si>
  <si>
    <t>StrongLumio LED pásek 12V 12W/m (60 LED/m) 8mm, bílá neutrální</t>
  </si>
  <si>
    <t>StrongLumio LED pásik 12V 12W/m (60 LED/m) 8mm, biela neutrálna</t>
  </si>
  <si>
    <t>StrongLumio taśma LED 12W/m 12V (60 LED/m) 8mm, biała neutralna</t>
  </si>
  <si>
    <t>StrongLumio LED szalag 12V 12W/m (60 LED/m) 8mm semleges fehér</t>
  </si>
  <si>
    <t>StrongLumio LED strip 12V 12W/m (120 LED/m), 8mm, white neutral</t>
  </si>
  <si>
    <t>StrongLumio LED pásek 24V 6W/m (60 LED/m) 8mm, bílá teplá</t>
  </si>
  <si>
    <t>StrongLumio LED pásik 6W/m 24V (60 LED/m) 8mm, biela teplá</t>
  </si>
  <si>
    <t>StrongLumio taśma LED 6W/m 24V (60 LED/m) 8mm, ciepła biała</t>
  </si>
  <si>
    <t>StrongLumio LED szalag 24V 6W/m (60 LED/m) 8mm, meleg fehér</t>
  </si>
  <si>
    <t>StrongLumio LED strip 24V 6W/m (60 LED/m), 8mm, warm white</t>
  </si>
  <si>
    <t>StrongLumio LED pásek 24V 6W/m (60 LED/m) 8mm, bílá neutrální</t>
  </si>
  <si>
    <t>StrongLumio LED pásik 24V 6W/m (60 LED/m) 8mm, biela neutrálna</t>
  </si>
  <si>
    <t>StrongLumio taśma LED 6W/m 24V (60 LED/m) 8mm, biała neutralna</t>
  </si>
  <si>
    <t>StrongLumio LED szalag, 24V 6W/m (60 LED/m) 8mm, semleges fehér</t>
  </si>
  <si>
    <t>StrongLumio LED strip 24V 6W/m (60 LED/m), 8mm, white neutral</t>
  </si>
  <si>
    <t>StrongLumio LED pásek 24V 6W/m (60 LED/m) 8mm, bílá studená</t>
  </si>
  <si>
    <t>StrongLumio LED pásik 6W/m 24V (60 LED/m) 8mm, biela studená</t>
  </si>
  <si>
    <t>StrongLumio taśma LED 6W/m 24V (60 LED/m) 8mm, zimna biała</t>
  </si>
  <si>
    <t>StrongLumio LED szalag, 24V 6W/m (60 LED/m) 8mm, hideg fehér</t>
  </si>
  <si>
    <t>StrongLumio LED strip 24V 6W/m (60 LED/m), 8mm, cold white</t>
  </si>
  <si>
    <t>StrongLumio LED pásek 24V 12W/m (120 LED/m) 8mm, bílá teplá</t>
  </si>
  <si>
    <t>StrongLumio LED pásik 12W/m 24V (120 LED/m) 8mm, biela teplá</t>
  </si>
  <si>
    <t>StrongLumio taśma LED 12W/m 24V (120 LED/m) 8mm, ciepła biała</t>
  </si>
  <si>
    <t>StrongLumio LED szalag 24V 12W/m (120 LED/m) 8mm, meleg fehér</t>
  </si>
  <si>
    <t>StrongLumio LED strip 24V 12W/m (60 LED/m), 8mm, warm white</t>
  </si>
  <si>
    <t>StrongLumio LED pásek 24V 12W/m (120 LED/m) 8mm, bílá neutrální</t>
  </si>
  <si>
    <t>StrongLumio LED pásik 12W/m 24V (120 LED/m) 8mm, biela neutrálna</t>
  </si>
  <si>
    <t>StrongLumio taśma LED 12W/m 24V (120 LED/m) 8mm, biała neutralna</t>
  </si>
  <si>
    <t>StrongLumio LED szalag 24V 12W/m (120 LED/m) 8mm, semleges fehér</t>
  </si>
  <si>
    <t>StrongLumio LED strip 24V 12W/m (60 LED/m), 8mm, white neutral</t>
  </si>
  <si>
    <t>StrongLumio LED pásek 24V 12W/m (120 LED/m) 8mm, bílá studená</t>
  </si>
  <si>
    <t>StrongLumio LED pásik 12W/m 24V (120 LED/m) 8mm, biela studená</t>
  </si>
  <si>
    <t>StrongLumio  taśma LED 12W/m 24V (120 LED/m) 8mm, zimna biała</t>
  </si>
  <si>
    <t>StrongLumio LED szalag 24V 12W/m (120 LED/m) 8mm, hideg fehér</t>
  </si>
  <si>
    <t>StrongLumio LED strip 24V 12W/m (60 LED/m), 8mm, cold white</t>
  </si>
  <si>
    <t>StrongLumio LED pásek COB 24V 5W/m (320 LED/m) 8mm, bílá teplá</t>
  </si>
  <si>
    <t>StrongLumio LED pásik COB 24V 5W/m (320 LED/m) 8mm biela teplá</t>
  </si>
  <si>
    <t>StrongLumio taśma LED COB 24V 5W/m (320 LED/m) - 8mm -ciepły biały</t>
  </si>
  <si>
    <t>StrongLumio LED szalag, COB 24V 5W/m (320 LED/m) - 8mm - meleg fehér</t>
  </si>
  <si>
    <t>StrongLumio LED strip COB 24V 5W/m (320 LED/m) - 8 mm - warm white</t>
  </si>
  <si>
    <t>StrongLumio LED pásek COB 24V 5W/m (320 LED/m) 8mm, bílá neutrální</t>
  </si>
  <si>
    <t>StrongLumio LED pásik COB 24V 5W/m (320 LED/m) 8mm, biela neutrálna</t>
  </si>
  <si>
    <t>StrongLumio LED pasek COB 24V 5W/m (320 LED/m) 8 mm, biała neutralna</t>
  </si>
  <si>
    <t>StrongLumio LED szalag, COB 24V 5W/m (320 LED/m) - 8mm semleges fehér</t>
  </si>
  <si>
    <t>StrongLumio LED strip COB 24V 5W/m (320 LED/m), 8 mm, white neutral</t>
  </si>
  <si>
    <t>StrongLumio LED pásek COB 24V 5W/m (320 LED/m) 8mm, bílá studená</t>
  </si>
  <si>
    <t>StrongLumio LED pásik COB 24V 5W/m (320 LED/m) 8mm,biela studená</t>
  </si>
  <si>
    <t>StrongLumio taśma LED COB 24V 5W/m (320 LED/m) 8 mm, zimna biel</t>
  </si>
  <si>
    <t>StrongLumio LED szalag, COB 24V 5W/m (320 LED/m) - 8mm hideg fehér</t>
  </si>
  <si>
    <t>StrongLumio LED strip COB 24V 5W/m (320 LED/m) - 8 mm - cold white</t>
  </si>
  <si>
    <t>StrongLumio LED pásek COB 12V 5W/m (320 LED/m) 8mm, bílá teplá</t>
  </si>
  <si>
    <t>StrongLumio LED pásik COB 12V 5W/m (320 LED/m) - 8mm,biela teplá</t>
  </si>
  <si>
    <t>StrongLumio LED pasek COB 12V 5W/m (320 LED/m) 8 mm, biała ciepła</t>
  </si>
  <si>
    <t>StrongLumio LED szalag, COB 12V 5W/m (320 LED/m) - 8mm - meleg fehér</t>
  </si>
  <si>
    <t>StrongLumio LED strip COB 12V 5W/m (320 LED/m) - 8 mm - warm white</t>
  </si>
  <si>
    <t>StrongLumio LED pásek COB 12V 5W/m (320 LED/m) 8mm, bílá neutrální</t>
  </si>
  <si>
    <t>StrongLumio LED pásik  COB 12V 5W/m (320 LED/m) - 8mm,biela neutrálna</t>
  </si>
  <si>
    <t>StrongLumio LED pasek COB 12V 5W/m (320 LED/m) 8 mm, biała neutralna</t>
  </si>
  <si>
    <t>StrongLumio LED szalag COB 12V 5W/m (320 LED/m) - 8mm - semleges fehér</t>
  </si>
  <si>
    <t>StrongLumio LED strip COB 12V 5W/m (320 LED/m) - 8 mm - neutral white</t>
  </si>
  <si>
    <t>StrongLumio LED pásek COB 12V 5W/m (320 LED/m) 8mm, bílá studená</t>
  </si>
  <si>
    <t>StrongLumio LED pásik  COB 12V 5W/m (320 LED/m) - 8mm,biela studená</t>
  </si>
  <si>
    <t>StrongLumio LED pasek COB 12V 5W/m (320 LED/m) 8 mm, biała zimna</t>
  </si>
  <si>
    <t>StrongLumio LED szalag COB 12V 5W/m (320 LED/m) - 8mm - hideg fehér</t>
  </si>
  <si>
    <t>StrongLumio LED strip COB 12V 5W/m (320 LED/m) - 8 mm - cold white</t>
  </si>
  <si>
    <t>StrongLumio LED pásek vysoká svítivost 24V 12W/m (160 LED/m) 8mm, bílá teplá</t>
  </si>
  <si>
    <t>StrongLumio LED pásik vysoká svietivosť 24V 12W/m (160 LED/m) 8mm, biela teplá</t>
  </si>
  <si>
    <t>StrongLumio taśma LED wysoka jasność 24V 12W/m (160 LED/m) 8 mm, ciepła biel</t>
  </si>
  <si>
    <t>StrongLumio LED strip high efficiency 24V 12W/m (160 LED/m), 8mm, warm white</t>
  </si>
  <si>
    <t>StrongLumio LED pásek vysoká svítivost 24V 12W/m (160 LED/m) 8mm, bílá studená</t>
  </si>
  <si>
    <t>StrongLumio LED pásik vysoká svietivosť 24V 12W/m (160 LED/m) 8mm, biela studená</t>
  </si>
  <si>
    <t>StrongLumio LED – wysoka jasność, 24V, 12W/m, 160 LED/m, 8 mm, biała zimna</t>
  </si>
  <si>
    <t>StrongLumio LED strip high efficiency 24V 12W/m (160 LED/m), 8mm, cold white</t>
  </si>
  <si>
    <t>StrongLumio LED pásek neon 6x12 mm 24V 9,6W (168 LED/m) IP67 bílá neutrální</t>
  </si>
  <si>
    <t>StrongLumio LED pásik neon 6x12 mm, 168 LED/m biela neutrálna</t>
  </si>
  <si>
    <t>StrongLumio taśma LED neon 6x12 mm 24V 9,6W (168 LED/m) IP67, biały neutralny</t>
  </si>
  <si>
    <t>StrongLumio LED neon szalag 6x12 mm 24V 9,6W (168 LED/m) IP67 fehér semleges</t>
  </si>
  <si>
    <t>StrongLumio LED neon strip, 6x12 mm 24V 9,6W (168 LED/m) IP67, neutral white</t>
  </si>
  <si>
    <t>bezdrátové - kinetické</t>
  </si>
  <si>
    <t>řídící jednotky pro kinetické</t>
  </si>
  <si>
    <t>bateriové</t>
  </si>
  <si>
    <t>řídící jednotky pro bateriové</t>
  </si>
  <si>
    <t>12V trafa 6.19 - jen S3</t>
  </si>
  <si>
    <t>výkon W</t>
  </si>
  <si>
    <t>12V trafa 6.15 - jen S3</t>
  </si>
  <si>
    <t>Profily - všechny barvy, délky, jen skladovky</t>
  </si>
  <si>
    <t>difuzery</t>
  </si>
  <si>
    <t>koncovky</t>
  </si>
  <si>
    <t>napájení</t>
  </si>
  <si>
    <t>Přerušení</t>
  </si>
  <si>
    <t>rovny_1</t>
  </si>
  <si>
    <t>rovny_2</t>
  </si>
  <si>
    <t>roh_1</t>
  </si>
  <si>
    <t>roh_2</t>
  </si>
  <si>
    <t>Kód</t>
  </si>
  <si>
    <t>Název</t>
  </si>
  <si>
    <t>Název sortimentu (SK)</t>
  </si>
  <si>
    <t>MJ</t>
  </si>
  <si>
    <t>Prodejní cena</t>
  </si>
  <si>
    <t>Prodejní cena SK</t>
  </si>
  <si>
    <t>Prodejní cena PL</t>
  </si>
  <si>
    <t>Prodejní cena HU</t>
  </si>
  <si>
    <t>Název sortimentu (HU)</t>
  </si>
  <si>
    <t>Název sortimentu (PL)</t>
  </si>
  <si>
    <t>BLN24 LED panel 24W kulatý 300mm, denní bílá</t>
  </si>
  <si>
    <t/>
  </si>
  <si>
    <t>KS</t>
  </si>
  <si>
    <t>BLN6 LED panel 6W kulatý 120mm, denní bílá</t>
  </si>
  <si>
    <t>BSN12 LED panel 12W černý čtverec, denní bílá</t>
  </si>
  <si>
    <t>DL dvojzásuvka Schuko Corner Box 2 alu</t>
  </si>
  <si>
    <t>DL-dupla aljzat Schuko Corner Box 2 alu</t>
  </si>
  <si>
    <t>Dotykový / podpovrchový vypínač se stmívačem 12/24V</t>
  </si>
  <si>
    <t>Dotykový / podpovrchový vypínač so stmievačom 12/24V</t>
  </si>
  <si>
    <t>Érintéses / színt alatti kapcsoló fényerő szabályozóval 12/24V</t>
  </si>
  <si>
    <t>Flexo s volným koncem 2x0,5mm 2m černá</t>
  </si>
  <si>
    <t>Flexo s voľným koncom 2x0,5mm 2m čierna</t>
  </si>
  <si>
    <t>Flexo szabad véggel 2x0,5mm 2m fekete</t>
  </si>
  <si>
    <t>HA-Baterie TINKO LR44 (AG13,357A,LR1154,GP357) alkalická</t>
  </si>
  <si>
    <t>HA-Batéria TINKO LR44 (AG13,357A,LR1154,GP357) alkalická</t>
  </si>
  <si>
    <t>HA-elem TINKO LR44 (AG13, 357A, LR1154, GP357) alkáli</t>
  </si>
  <si>
    <t>HA-Bateria TINKO LR44 (AG13,357A,LR1154,GP357) alkaliczna</t>
  </si>
  <si>
    <t>HAL - LED pásek Versa Fix 4x6mm 12V 6W/m 1200mm teplá bílá</t>
  </si>
  <si>
    <t>HAL - LED pásek Versa Fix 4x6mm 12V 6W/m 3000mm teplá bílá</t>
  </si>
  <si>
    <t>HAL dodatkový vysílač IR signálu</t>
  </si>
  <si>
    <t>HAL dodatkový vysielač IR signálu</t>
  </si>
  <si>
    <t>HAL-további IR jeladó</t>
  </si>
  <si>
    <t>HAL-dodatkowy nadajnik sygnału IR</t>
  </si>
  <si>
    <t>HAL LED bodovka LitePanel 68 12V 4,3W broušená nerez multiwhite</t>
  </si>
  <si>
    <t>HAL LED bodovka LitePanel 68 12V 4,3W brúsená nerez multiwhite</t>
  </si>
  <si>
    <t>HAL LED LitePanel 68 12V 4,3W stal nierdzewna szczotkowana wielobiały</t>
  </si>
  <si>
    <t>HAL LuckyLine LED sada včetně pohybových senzorů bílá studená</t>
  </si>
  <si>
    <t>HAL LuckyLine LED sada vrátane pohybových senzorou biela studená</t>
  </si>
  <si>
    <t>HAL LuckyLine LED készlet, mozgásérzékelőkkel, fehér hideg</t>
  </si>
  <si>
    <t>HAL LuckyLine LED zestaw wraz z czujnikami ruchu biały zimny</t>
  </si>
  <si>
    <t>HAL LuckyLine LED sada včetně pohybových senzorů bílá teplá</t>
  </si>
  <si>
    <t>HAL LuckyLine LED sada vrátane pohybových senzorov biela teplá</t>
  </si>
  <si>
    <t>HAL LuckyLine LED készlet, mozgásérzékelőkkel, fehér meleg</t>
  </si>
  <si>
    <t>HAL LuckyLine LED zestaw z czujnikami ruchu biały ciepły</t>
  </si>
  <si>
    <t>HAL Master jednotka 500W 230V new</t>
  </si>
  <si>
    <t>HAL-Master egység 500W 230V new</t>
  </si>
  <si>
    <t>HAL MultiSwitch contact dveřní vypínač k jednotce Master k zafrézování 8mm stříb</t>
  </si>
  <si>
    <t>HAL MultiSwitch contact dverný vypínač k jednotke Master k zafréz. 8mm strieb.</t>
  </si>
  <si>
    <t>HAL-MultiSwitch contact ajtóhoz/hand kapcsoló master egységhez bemarásra 8mm</t>
  </si>
  <si>
    <t>HAL MultiSwitch contact wyłącznik do zafrezowania do Master 8mm srebrny</t>
  </si>
  <si>
    <t>HAL MultiSwitch dveřní/bezdotykový vyp. k jednotce Master povrchový new,stříbrná</t>
  </si>
  <si>
    <t>HAL MultiSwitch dver./bezdotyk. vypínač k jednotke Master povrchový new, strieb.</t>
  </si>
  <si>
    <t>HAL-MultiSwitch contact ajtóhoz/hand kapcsoló master egységhez felületre new</t>
  </si>
  <si>
    <t>HAL MultiSwitch drzwiowy/bezdotykowy wył. do jed. Master powierzch. new, srebrny</t>
  </si>
  <si>
    <t>HAL MultiSwitch MagicSwitch podpovrchový vypínač k jednotce Master new</t>
  </si>
  <si>
    <t>HAL MultiSwitch MagicSwitch, podpovrchový vypínač k jednotke Master new</t>
  </si>
  <si>
    <t>HAL MultiSwitch MagicSwitch felszín alatti kapcsoló Master egységhez új</t>
  </si>
  <si>
    <t>HAL MultiSwitch MagicSwitch przełącznik do jednostki Master nowość</t>
  </si>
  <si>
    <t>HAL MultiSwitch PIR vypínač k jednotce Master new, stříbrná</t>
  </si>
  <si>
    <t>HAL MultiSwitch PIR vypínač k jednotke Master new, strieborná</t>
  </si>
  <si>
    <t>HAL-MultiSwitch PIR kapcsoló master egységhez new</t>
  </si>
  <si>
    <t>HAL MultiSwitch PIR wyłącznik do jednostki Master new, srebrny</t>
  </si>
  <si>
    <t>HAL MultiSwitch push button vypínač k jednotce Master new</t>
  </si>
  <si>
    <t>HAL MultiSwitch push button vypínač k jednotke Master new</t>
  </si>
  <si>
    <t>HAL-MultiSwitch push button kapcsoló master egységhez new</t>
  </si>
  <si>
    <t>HAL-MultiSwitch push button wyłącznik do jednostki Master new</t>
  </si>
  <si>
    <t>HAL MultiSwitch Touch vypínač k jednotce Master new</t>
  </si>
  <si>
    <t>HAL MultiSwitch Touch vypínač k jednotke Master new</t>
  </si>
  <si>
    <t>HAL-MultiSwitch Touch kapcsoló master egységhez new</t>
  </si>
  <si>
    <t>HAL-MultiSwitch Touch wyłącznik do jednostki Master new</t>
  </si>
  <si>
    <t>HAL opakovač IR signálu</t>
  </si>
  <si>
    <t>HAL-IR jelismétlő</t>
  </si>
  <si>
    <t>HAL-wzmacniacz IR sygnału</t>
  </si>
  <si>
    <t>HAL prodlužovací kabel k jednotce Master 3m new</t>
  </si>
  <si>
    <t>HAL predlžovací kábel k jednotke Master 3m new</t>
  </si>
  <si>
    <t>HAL-hosszabbító kábel master egységhez 3m new</t>
  </si>
  <si>
    <t>HAL-przedłużacz do jednostki Master 3m new</t>
  </si>
  <si>
    <t>HAL rozdvojka 230V Euro plug</t>
  </si>
  <si>
    <t>HAL-elosztó 230V Euro plug</t>
  </si>
  <si>
    <t>HAL-rozgałęźnik 230V Euro plug</t>
  </si>
  <si>
    <t>HAL vypínač mechanický 12V černý</t>
  </si>
  <si>
    <t>HAL vypínač mechanický 12V čierny</t>
  </si>
  <si>
    <t>HAL mechanikus kapcsoló 12V fekete</t>
  </si>
  <si>
    <t>HAL wyłącznik mechaniczny powierzchniowy 12V czarny</t>
  </si>
  <si>
    <t>Hmatník pro mechanický vypínač 11,5/12,5mm</t>
  </si>
  <si>
    <t>Hmatník pre mechanický vypínač 11,5/12,5mm</t>
  </si>
  <si>
    <t>Gomb mechanikus kapcsolóhoz 11,5/12,5mm</t>
  </si>
  <si>
    <t>Hmatník pro mechanický vypínač 11,5/7,2mm</t>
  </si>
  <si>
    <t>Hmatník pre mechanický vypínač 11,5/7,2mm</t>
  </si>
  <si>
    <t>Gomb mechanikus kapcsolóhoz 11,5/7,2mm</t>
  </si>
  <si>
    <t>Nakładka na klawisze przełącznika mechanicznego 11,5/7,2 mm</t>
  </si>
  <si>
    <t>Hmatník pro mechanický vypínač 8/7mm</t>
  </si>
  <si>
    <t>Hmatník pre mechanický vypínač 8/7mm</t>
  </si>
  <si>
    <t>Gomb mechanikus kapcsolóhoz 8/7mm</t>
  </si>
  <si>
    <t>Podstrunnica do przełącznika mechanicznego 8/7mm</t>
  </si>
  <si>
    <t>K-HAL MultiSwitch MagicSwitch podpovrchový vypínač včetně jednotky Master new</t>
  </si>
  <si>
    <t>K-HAL MultiSwitch MagicSwitch, podpovrchový vypínač vrátane jednotky Master new</t>
  </si>
  <si>
    <t>K-HAL MultiSwitch MagicSwitch felszín alatti kapcsoló, Master egységgel együtt ú</t>
  </si>
  <si>
    <t>K-HAL MultiSwitch MagicSwitch Podtynkowy włącznik z jednostką Master new</t>
  </si>
  <si>
    <t>K-StrongLumio LED COB 24V 12W/m neutrální,Surface stříbrná, krytka průsvitná, 2m</t>
  </si>
  <si>
    <t>K-StrongLumio LED COB 24V 12W/m studená,Surface stříbrná, krytka průsvitná, 2m</t>
  </si>
  <si>
    <t>K-StrongLumio LED COB 24V 12W/m teplá II,Surface stříbrná,krytka průsvitná, 2m</t>
  </si>
  <si>
    <t>K-StrongLumio LED COB 24V 12W/m teplá, Surface stříbrná, krytka průsvitná, 2m</t>
  </si>
  <si>
    <t>Kuchyňskě světlo LED výkyvné napájecí kabel 230V, 15W, neutrální bílá, stříbrná</t>
  </si>
  <si>
    <t>Konyhafény LED  lengő tápkábel 230V, 15W, semleges fehér, ezüst</t>
  </si>
  <si>
    <t>nepřekládat</t>
  </si>
  <si>
    <t>SAD</t>
  </si>
  <si>
    <t>Nepřekládat</t>
  </si>
  <si>
    <t>LED bodovka BAILEN 12V 3W bílá neutrální, bílá</t>
  </si>
  <si>
    <t>LED bodovka BAILEN 12V 3W biela neutrálna, biela</t>
  </si>
  <si>
    <t>LED spotlámpa BAILEN 12V 3W fehér/semleges fehér</t>
  </si>
  <si>
    <t>LED światło punktowe BAILEN 12V 3W neutralny biały, białe</t>
  </si>
  <si>
    <t>LED bodovka BAILEN 12V 3W bílá neutrální, černá</t>
  </si>
  <si>
    <t>LED bodovka BAILEN 12V 3W biela neutrálna, čierna</t>
  </si>
  <si>
    <t>LED spotlámpa BAILEN 12V 3W fekete/semleges fehér</t>
  </si>
  <si>
    <t>LED światło punktowe BAILEN 12V 3W neutralny biały, czarne</t>
  </si>
  <si>
    <t>LED bodovka BAILEN 12V 3W bílá neutrální, ocel broušená</t>
  </si>
  <si>
    <t>LED bodovka BAILEN 12V 3W biela neutrálna, oceľ brúsená</t>
  </si>
  <si>
    <t>LED spotlámpa BAILEN 12V 3W csiszolt acél/semleges fehér</t>
  </si>
  <si>
    <t>LED światło punktowe BAILEN 12V 3W neutralny biały, stal szlifowana</t>
  </si>
  <si>
    <t>LED bodovka BAILEN 12V 3W bílá studená, bílá</t>
  </si>
  <si>
    <t>LED bodovka BAILEN 12V 3W biela studená, biela</t>
  </si>
  <si>
    <t>LED spotlámpa BAILEN 12V 3W fehér/hideg fehér</t>
  </si>
  <si>
    <t>LED światło punktowe BAILEN 12V 3W zimny biały, białe</t>
  </si>
  <si>
    <t>LED bodovka BAILEN 12V 3W bílá studená, černá</t>
  </si>
  <si>
    <t>LED bodovka BAILEN 12V 3W biela studená, čierna</t>
  </si>
  <si>
    <t>LED spotlámpa BAILEN 12V 3W fekete/hideg fehér</t>
  </si>
  <si>
    <t>LED światło punktowe BAILEN 12V 3W ciepły biały, czarne</t>
  </si>
  <si>
    <t>LED bodovka BAILEN 12V 3W bílá studená, ocel broušená</t>
  </si>
  <si>
    <t>LED bodovka BAILEN 12V 3W biela studená, oceľ brúsená</t>
  </si>
  <si>
    <t>LED spotlámpa BAILEN 12V 3W csiszolt acél/hideg fehér</t>
  </si>
  <si>
    <t>LED światło punktowe BAILEN 12V 3W zimny biały, stal szlifowana</t>
  </si>
  <si>
    <t>LED bodovka BAILEN 12V 3W bílá teplá, bílá</t>
  </si>
  <si>
    <t>LED bodovka BAILEN 12V 3W biela teplá, biela</t>
  </si>
  <si>
    <t>LED spotlámpa BAILEN 12V 3W fehér/meleg fehér</t>
  </si>
  <si>
    <t>LED światło punktowe BAILEN 12V 3W ciepły biały, białe</t>
  </si>
  <si>
    <t>LED bodovka BAILEN 12V 3W bílá teplá, černá</t>
  </si>
  <si>
    <t>LED bodovka BAILEN 12V 3W biela teplá, čierna</t>
  </si>
  <si>
    <t>LED spotlámpa BAILEN 12V 3W fekete/meleg fehér</t>
  </si>
  <si>
    <t>LED bodovka BAILEN 12V 3W bílá teplá, ocel broušená</t>
  </si>
  <si>
    <t>LED bodovka BAILEN 12V 3W biela teplá, oceľ brúsená</t>
  </si>
  <si>
    <t>LED spotlámpa BAILEN 12V 3W csiszolt acél/meleg fehér</t>
  </si>
  <si>
    <t>LED światło punktowe BAILEN 12V 3W ciepły biały, stal szlifowana</t>
  </si>
  <si>
    <t>LED bodovka CIRAT 12V 3W bílá neutrální, alu anodovaný</t>
  </si>
  <si>
    <t>LED bodovka CIRAT 12V 3W biela neutrálna, alu anodovaný</t>
  </si>
  <si>
    <t>LED spotlámpa CIRAT 12V 3W alu/semleges fehér</t>
  </si>
  <si>
    <t>LED światło punktowe CIRAT 12V 3W neutralny biały, alu anodowany</t>
  </si>
  <si>
    <t>LED bodovka CIRAT 12V 3W bílá neutrální, bílá</t>
  </si>
  <si>
    <t>LED bodovka CIRAT 12V 3W biela neutrálna, biela</t>
  </si>
  <si>
    <t>LED spotlámpa CIRAT 12V 3W fehér/semleges fehér</t>
  </si>
  <si>
    <t>LED światło punktowe CIRAT 12V 3W neutralny biały, białe</t>
  </si>
  <si>
    <t>LED bodovka CIRAT 12V 3W bílá neutrální, černá</t>
  </si>
  <si>
    <t>LED bodovka CIRAT 12V 3W biela neutrálna, čierna</t>
  </si>
  <si>
    <t>LED spotlámpa CIRAT 12V 3W fekete/semleges fehér</t>
  </si>
  <si>
    <t>LED światło punktowe CIRAT 12V 3W neutralny biały, czarne</t>
  </si>
  <si>
    <t>LED bodovka CIRAT 12V 3W bílá studená, alu anodovaný</t>
  </si>
  <si>
    <t>LED bodovka CIRAT 12V 3W biela studená, alu anodovaný</t>
  </si>
  <si>
    <t>LED spotlámpa CIRAT 12V 3W alu hideg fehér</t>
  </si>
  <si>
    <t>LED światło punktowe CIRAT 12V 3W zimny biały, alu anodowany</t>
  </si>
  <si>
    <t>LED bodovka CIRAT 12V 3W bílá studená, bílá</t>
  </si>
  <si>
    <t>LED bodovka CIRAT 12V 3W biela studená, biela</t>
  </si>
  <si>
    <t>LED spotlámpa CIRAT 12V 3W fehér hideg fehér</t>
  </si>
  <si>
    <t>LED światło punktowe CIRAT 12V 3W zimny biały, białe</t>
  </si>
  <si>
    <t>LED bodovka CIRAT 12V 3W bílá studená, černá</t>
  </si>
  <si>
    <t>LED bodovka CIRAT 12V 3W biela studená, čierna</t>
  </si>
  <si>
    <t>LED spotlámpa CIRAT 12V 3W fekete/hideg fehér</t>
  </si>
  <si>
    <t>LED światło punktowe CIRAT 12V 3W zimny biały, czarne</t>
  </si>
  <si>
    <t>LED bodovka CIRAT 12V 3W bílá teplá, alu anodovaný</t>
  </si>
  <si>
    <t>LED bodovka CIRAT 12V 3W biela teplá, alu anodovaný</t>
  </si>
  <si>
    <t>LED spotlámpa CIRAT 12V 3W alu meleg fehér</t>
  </si>
  <si>
    <t>LED światło punktowe CIRAT 12V 3W ciepły biały, alu anodowany</t>
  </si>
  <si>
    <t>LED bodovka CIRAT 12V 3W bílá teplá, bílá</t>
  </si>
  <si>
    <t>LED bodovka CIRAT 12V 3W biela teplá, biela</t>
  </si>
  <si>
    <t>LED spotlámpa CIRAT 12V 3W fehér meleg fehér</t>
  </si>
  <si>
    <t>LED światło punktowe CIRAT 12V 3W ciepły biały, białe</t>
  </si>
  <si>
    <t>LED bodovka CIRAT 12V 3W bílá teplá, černá</t>
  </si>
  <si>
    <t>LED bodovka CIRAT 12V 3W biela teplá, čierna</t>
  </si>
  <si>
    <t>LED spotlámpa CIRAT 12V 3W fekete/meleg fehér</t>
  </si>
  <si>
    <t>LED światło punktowe CIRAT 12V 3W ciepły biały, czarne</t>
  </si>
  <si>
    <t>LED bodovka CIRAT 12V 3W ocel broušená bílá studená</t>
  </si>
  <si>
    <t>LED bodovka CIRAT 12V 3W oceľ brúsená biela studená</t>
  </si>
  <si>
    <t>LED spotlámpa CIRAT 12V 3W acél csiszolt hideg fehér</t>
  </si>
  <si>
    <t>LED światło punktowe CIRAT 12V 3W stal szlifowana zimny biały</t>
  </si>
  <si>
    <t>LED bodovka Oval bílá teplá bílá</t>
  </si>
  <si>
    <t>LED bodovka Oval biela teplá biela</t>
  </si>
  <si>
    <t>LED spotlámpa Oval fehér meleg fehér</t>
  </si>
  <si>
    <t>LED światło punktowe Owal białe, ciepły biały</t>
  </si>
  <si>
    <t>LED bodovka Oval nerez broušený neutrální bílá</t>
  </si>
  <si>
    <t>LED bodovka Oval nerez brúsený neutrálna biela</t>
  </si>
  <si>
    <t>LED spotlámpa Oval nemesacél csiszolt neutral fehér</t>
  </si>
  <si>
    <t>LED światło punktowe Owal stal nierdzewna szlifowana ciepły biały</t>
  </si>
  <si>
    <t>LED bodovka Star 12V, 0,6W, chrom matný, neutrální bílá</t>
  </si>
  <si>
    <t>LED bodovka Star 12V, 0,6W, chróm matný neutrálna biela</t>
  </si>
  <si>
    <t>LED spotlámpa Star nemesacél csiszolt neutral fehér</t>
  </si>
  <si>
    <t>LED światło punktowe Star chrom neutralny biały</t>
  </si>
  <si>
    <t>LED lampička Modus Touch USB 12V 2W teplá bílá, bílá</t>
  </si>
  <si>
    <t>LED lampička Modus Touch USB 12V 2W teplá biela, biela</t>
  </si>
  <si>
    <t>LED-es lámpa Modus Touch USB 12V 2W meleg fehér, fehér</t>
  </si>
  <si>
    <t>LED lampa Modus Touch USB 12V 2W, biała</t>
  </si>
  <si>
    <t>LED lampička Modus Touch USB 12V 2W teplá bílá, černá</t>
  </si>
  <si>
    <t>LED lampička Modus Touch USB 12V 2W teplá biela, čierna</t>
  </si>
  <si>
    <t>LED-es lámpa Modus Touch USB 12V 2W meleg fehér, fekete</t>
  </si>
  <si>
    <t>LED lampa Modus Touch USB 12V 2W, czarna</t>
  </si>
  <si>
    <t>LED lišta Greta CCT s pohybovým senzorem</t>
  </si>
  <si>
    <t>LED pás.9,6W/m bílá teplá 1025mm + 2 kabel MINI</t>
  </si>
  <si>
    <t>LED szal.9,6W/m,f.me.1025mm+káb(236582)</t>
  </si>
  <si>
    <t>LED taś.9,6W/m biały ciepły 1025mm+kabel MINI (236582)</t>
  </si>
  <si>
    <t>LED pásek 8mm 9,6W/m 12V bílá teplá</t>
  </si>
  <si>
    <t>LED pásik 8mm 9,6W/m 12V biela teplá</t>
  </si>
  <si>
    <t>M</t>
  </si>
  <si>
    <t>LED szalag 8mm 9,6W/m 12V meleg fehér</t>
  </si>
  <si>
    <t>LED taśma 8mm 9,6W/m 12V ciepły biały</t>
  </si>
  <si>
    <t>LED svítidlo ISDA 7W černé, denní bílá</t>
  </si>
  <si>
    <t>LED svítidlo ISDA 7W černé, teplá bílá</t>
  </si>
  <si>
    <t>LED svítidlo Mera 10W neutrální bílá 538mm, bílá</t>
  </si>
  <si>
    <t>LED svietidlo Mera 10W neutrálna biela 538mm, biela</t>
  </si>
  <si>
    <t>SK - lámpa Mera LED 10W semleges fehér 538mm</t>
  </si>
  <si>
    <t>LED świetlówka Mera LED 10W neutralny biały 538mm, biała</t>
  </si>
  <si>
    <t>LED svítidlo Mera 15W neutrální bílá 838mm, bílá</t>
  </si>
  <si>
    <t>LED svietidlo Mera 15W neutrálna biela 838mm, biela</t>
  </si>
  <si>
    <t>SK - lámpa Mera LED 15W semleges fehér 838mm</t>
  </si>
  <si>
    <t>LED świetlówka Mera LED 15W neutralny biały 838mm, biała</t>
  </si>
  <si>
    <t>LED svítidlo Mera 20W neutrální bílá 1138mm, bílá</t>
  </si>
  <si>
    <t>LED svietidlo Mera 20W neutrálna biela 1138mm, biela</t>
  </si>
  <si>
    <t>SK - lámpa Mera LED 20W semleges fehér 1138mm</t>
  </si>
  <si>
    <t>LED świetlówka Mera LED 20W neutralny biały 1138mm, biała</t>
  </si>
  <si>
    <t>SAL111</t>
  </si>
  <si>
    <t>LED svítidlo pro skleněné police - 2 ks + napájecí zdroj bílá</t>
  </si>
  <si>
    <t>SAL LED osvetlenie sklenenej polica - 2 ks + napájací zdroj biela</t>
  </si>
  <si>
    <t>SAL LED üvegpolc megvilágítása - 2db + tápegység fehér</t>
  </si>
  <si>
    <t>LED oświetlenie półek szklanych - 2 szt. + zasilacz, biały</t>
  </si>
  <si>
    <t>SAL091</t>
  </si>
  <si>
    <t>LED svítidlo pro skleněné police 0,25W bílá</t>
  </si>
  <si>
    <t>SAL LED svetlo na sklenené police 0,25W biela</t>
  </si>
  <si>
    <t>SAL LED megvilágítás üveg polcokra 0,25W fehér</t>
  </si>
  <si>
    <t>LED oświetlenie półek szklanych 0,25W białe</t>
  </si>
  <si>
    <t>LED vestavné svítidlo PIR-LOPEN-B-IP65 černé, studená bílá</t>
  </si>
  <si>
    <t>LED žárovka GU10 EV7W, denní bílá</t>
  </si>
  <si>
    <t>LED žárovka GU10 EV7W, neutrální bílá</t>
  </si>
  <si>
    <t>LED žárovka GU10 EV7W, studená bílá</t>
  </si>
  <si>
    <t>MEAN WELL napájecí zdroj HLG-320H-12-A, 12V, 264W, IP67</t>
  </si>
  <si>
    <t>MEAN WELL napájací zdroj HLG-320H-12-A, 12V, 264W, IP67</t>
  </si>
  <si>
    <t>MEAN WELL tápegység, HLG-320H-12-A, 12V, 264W, IP67</t>
  </si>
  <si>
    <t>MEAN WELL zasilacz HLG-320H-12-A, 12V, 264W, IP67</t>
  </si>
  <si>
    <t>MEAN WELL napájecí zdroj HLG-320H-24-A, 24V, 320W, IP67</t>
  </si>
  <si>
    <t>MEAN WELL napájací zdroj HLG-320H-24-A, 24V, 320W, IP67</t>
  </si>
  <si>
    <t>MEAN WELL tápegység, HLG-320H-24-A, 24V, 320W, IP67</t>
  </si>
  <si>
    <t>MEAN WELL zasilacz HLG-320H-24-A, 24V, 320W, IP67</t>
  </si>
  <si>
    <t>MEAN WELL napájecí zdroj XLG-150-12-A, 12V, 150W, IP67</t>
  </si>
  <si>
    <t>MEAN WELL napájací zdroj XLG-150-12-A, 12V, 150W, IP67</t>
  </si>
  <si>
    <t>MEAN WELL tápegység,  XLG-150-12-A, 12V, 150W, IP67</t>
  </si>
  <si>
    <t>MEAN WELL zasilacz XLG-150-12-A, 12V, 150W, IP67</t>
  </si>
  <si>
    <t>MEAN WELL napájecí zdroj XLG-150-24-A, 24V, 150W, IP67</t>
  </si>
  <si>
    <t>MEAN WELL napájací zdroj XLG-150-24-A, 24V, 150W, IP67</t>
  </si>
  <si>
    <t>MEAN WELL tápegység, XLG-150-24-A, 24V, 150W, IP67</t>
  </si>
  <si>
    <t>MEAN WELL zasilacz XLG-150-24-A, 24V, 150W, IP67</t>
  </si>
  <si>
    <t>MEAN WELL napájecí zdroj XLG-200-12-A, 12V, 200W, IP67</t>
  </si>
  <si>
    <t>MEAN WELL napájací zdroj XLG-200-12-A, 12V, 200W, IP67</t>
  </si>
  <si>
    <t>MEAN WELL tápegység,  XLG-200-12-A, 12V, 200W, IP67</t>
  </si>
  <si>
    <t>MEAN WELL zasilacz XLG-200-12-A, 12V, 200W, IP67</t>
  </si>
  <si>
    <t>MEAN WELL napájecí zdroj XLG-200-24-A, 24V, 200W, IP67</t>
  </si>
  <si>
    <t>MEAN WELL napájací zdroj XLG-200-24-A, 24V, 200W, IP67</t>
  </si>
  <si>
    <t>MEAN WELL tápegység, XLG-200-24-A, 24V, 200W, IP67</t>
  </si>
  <si>
    <t>MEAN WELL zasilacz XLG-200-24-A, 24V, 200W, IP67</t>
  </si>
  <si>
    <t>Místo toho zadávat 552068</t>
  </si>
  <si>
    <t>V-StrongLumio napájací zdroj plochý pre LED 24V 40W</t>
  </si>
  <si>
    <t>V-STRONG tápegység lapos LED hez 24V 40W</t>
  </si>
  <si>
    <t>V-StrongLumio zasilacz płaski pro LED 24V 40W</t>
  </si>
  <si>
    <t>Náhradní baterie CR2025 k dálkovým ovladačům</t>
  </si>
  <si>
    <t>Náhradná batéria CR2025 k dialkovým ovládačom</t>
  </si>
  <si>
    <t>CR2025 gombelem távirányítóhoz</t>
  </si>
  <si>
    <t>Zapasowa bateria CR2025 do pilotów</t>
  </si>
  <si>
    <t>Náhradní vrut k dotykovým vypínačům</t>
  </si>
  <si>
    <t>Náhradná skrutka k dotykovým vypínačom</t>
  </si>
  <si>
    <t>Pótló csavar érintőkapcsolókhoz</t>
  </si>
  <si>
    <t>Śruba zapasowa do przełączników dotykowych</t>
  </si>
  <si>
    <t>Napájecí zdroj 12V, 30W, IP44</t>
  </si>
  <si>
    <t>Napájecí zdroj MEAN WELL APV-25-12, 12V, 25W, IP42</t>
  </si>
  <si>
    <t>Napájací zdroj MEAN WELL APV-25-12, 12V, 25W, IP42</t>
  </si>
  <si>
    <t>Tápegység MEAN WELL APV-25-12, 12V, 25W, IP42</t>
  </si>
  <si>
    <t>Zasilacz MEAN WELL APV-25-12, 12V, 25W, IP42</t>
  </si>
  <si>
    <t>Napájecí zdroj MEAN WELL LPH-18-12, 12V, 18W, IP67</t>
  </si>
  <si>
    <t>Napájací zdroj MEAN WELL LPH-18-12, 12 V, 18 W, IP67</t>
  </si>
  <si>
    <t>Tápegység MEAN WELL LPH-18-12, 12V, 18W, IP67</t>
  </si>
  <si>
    <t>Zasilacz MEAN WELL LPH-18-12, 12V, 18W, IP67</t>
  </si>
  <si>
    <t>Napájecí zdroj MEAN WELL LPH-18-24, 24V, 18W, IP67</t>
  </si>
  <si>
    <t>Napájací zdroj MEAN WELL LPH-18-24, 24V, 18W, IP67</t>
  </si>
  <si>
    <t>Tápegység MEAN WELL LPH-18-24, 24V, 18W, IP67</t>
  </si>
  <si>
    <t>Zasilacz MEAN WELL LPH-18-24, 24V, 18W, IP67</t>
  </si>
  <si>
    <t>Napájecí zdroj MEAN WELL LPV-100-12, 12V, 100W, IP67</t>
  </si>
  <si>
    <t>Transformátor MEAN WELL LPV-100-12, 12V, 100W, IP67</t>
  </si>
  <si>
    <t>Tápegység MEAN WELL LPV-100-12, 12V, 100W, IP67</t>
  </si>
  <si>
    <t>Zasilacz MEAN WELL LPV-100-12, 12V, 100W, IP67</t>
  </si>
  <si>
    <t>Napájecí zdroj MEAN WELL LPV-100-24, 24V, 100W, IP67</t>
  </si>
  <si>
    <t>Napájací zdroj MEAN WELL LPV-100-24, 24V, 100W, IP67</t>
  </si>
  <si>
    <t>Tápegység MEAN WELL LPV-100-24, 24V, 100W, IP67</t>
  </si>
  <si>
    <t>Zasilacz MEAN WELL LPV-100-24, 24V, 100W, IP67</t>
  </si>
  <si>
    <t>Napájecí zdroj MEAN WELL LPV-35-12, 12V, 35W, IP67</t>
  </si>
  <si>
    <t>Napájací zdroj MEAN WELL LPV-35-12, 12 V, 35 W, IP67</t>
  </si>
  <si>
    <t>Tápegység MEAN WELL LPV-35-12, 12V, 35W, IP67</t>
  </si>
  <si>
    <t>Zasilacz MEAN WELL LPV-35-12, 12V, 35W, IP67</t>
  </si>
  <si>
    <t>Napájecí zdroj MEAN WELL LPV-35-24, 24V, 35W, IP67</t>
  </si>
  <si>
    <t>Napájací zdroj MEAN WELL LPV-35-24, 24V, 35W, IP67</t>
  </si>
  <si>
    <t>Tápegység MEAN WELL LPV-35-24, 24V, 35W, IP67</t>
  </si>
  <si>
    <t>Zasilacz MEAN WELL LPV-35-24, 24V, 35W, IP67</t>
  </si>
  <si>
    <t>Napájecí zdroj MEAN WELL LPV-60-12, 12V, 60W, IP67</t>
  </si>
  <si>
    <t>Napájací zdroj MEAN WELL LPV-60-12, 12 V, 60 W, IP67</t>
  </si>
  <si>
    <t>Tápegység MEAN WELL LPV-60-12, 12V, 60W, IP67</t>
  </si>
  <si>
    <t>Zasilacz MEAN WELL LPV-60-12, 12V, 60W, IP67</t>
  </si>
  <si>
    <t>Napájecí zdroj MEAN WELL LPV-60-24, 24V, 60W, IP67</t>
  </si>
  <si>
    <t>Napájací zdroj MEAN WELL LPV-60-24, 24V, 60W, IP67</t>
  </si>
  <si>
    <t>Tápegység MEAN WELL LPV-60-24, 24V, 60W, IP67</t>
  </si>
  <si>
    <t>Zasilacz MEAN WELL LPV-60-24, 24V, 60W, IP67</t>
  </si>
  <si>
    <t>Nástěnné svítidlo MAFA-NB černé</t>
  </si>
  <si>
    <t>Osvětlené zrcadlo  1100 x 550mm Classic Line</t>
  </si>
  <si>
    <t>Osvětlené zrcadlo 1000 x 550mm Simple Line Vertical</t>
  </si>
  <si>
    <t>Osvětlené zrcadlo 1000x500mm Portal Line Backlight černá mat neutrální bílá</t>
  </si>
  <si>
    <t>Osvětlené zrcadlo 1000x500mm Portal Line Backlight černá mat studená bílá</t>
  </si>
  <si>
    <t>Osvětlené zrcadlo 1000x500mm Portal Line Backlight černá mat teplá bílá</t>
  </si>
  <si>
    <t>Osvětlené zrcadlo 1340 x 785mm Simple Line Vertical</t>
  </si>
  <si>
    <t>Osvetlené zrkadlo 1000 x 650mm Simple Line Vertical</t>
  </si>
  <si>
    <t>Megvilágított tükör 1340 x 785mm Simple Line Vertical</t>
  </si>
  <si>
    <t>Lustro z podświetleniem 1000 x 650mm Simple Line Vertical</t>
  </si>
  <si>
    <t>Osvětlené zrcadlo 1400x500mm Portal Line Backlight černá mat neutrální bílá</t>
  </si>
  <si>
    <t>Osvětlené zrcadlo 1400x500mm Portal Line Backlight černá mat studená bílá</t>
  </si>
  <si>
    <t>Osvětlené zrcadlo 1400x500mm Portal Line Backlight černá mat teplá bílá</t>
  </si>
  <si>
    <t>Osvětlené zrcadlo 450 x 1350mm Simple Line Vertical</t>
  </si>
  <si>
    <t>Osvetlené zrkadlo 450 x 1350mm Simple Line Vertical</t>
  </si>
  <si>
    <t>Megvilágított tükör 450 x 1350mm Simple Line Vertical</t>
  </si>
  <si>
    <t>Lustro z podświetleniem 450 x 1350mm Simple Line Vertical</t>
  </si>
  <si>
    <t>Osvětlené zrcadlo 800 x 650mm Classic Line</t>
  </si>
  <si>
    <t>Osvětlené zrcadlo 800x500mm Portal Line Backlight černá mat neutrální bílá</t>
  </si>
  <si>
    <t>Osvětlené zrcadlo 800x500mm Portal Line Backlight černá mat studená bílá</t>
  </si>
  <si>
    <t>Osvetlené zrkadlo 800x500mm Portal Line Backlight čierna mat studená biela</t>
  </si>
  <si>
    <t>Világított tükör 800x500mm Portal Line Backlight fekete matt hideg fehér</t>
  </si>
  <si>
    <t>Osvětlené zrcadlo 800x500mm Portal Line Backlight černá mat teplá bílá</t>
  </si>
  <si>
    <t>Osvětlené zrcadlo Round Line Backlight 600mm, černá anoda, bez vypínače, neutrál</t>
  </si>
  <si>
    <t>Osvětlené zrcadlo Round Line Backlight 800mm, černá anoda, vypínač, teplá</t>
  </si>
  <si>
    <t>Osvětlené zrcadlo Round Line Backlight 900mm, černá anoda, vypínač, neutrál</t>
  </si>
  <si>
    <t>Osvětlené zrcadlo zakázka  1000x1200mm Double Line</t>
  </si>
  <si>
    <t>Osvětlené zrcadlo zakázka  1200 x 600mm Cosmetic Line</t>
  </si>
  <si>
    <t>Osvětlené zrcadlo zakázka  2400 x 800mm Shine Line</t>
  </si>
  <si>
    <t>Osvětlené zrcadlo zakázka  800x1100mm Double Line</t>
  </si>
  <si>
    <t>Osvětlené zrcadlo zakázka  850x1060mm Double Line</t>
  </si>
  <si>
    <t>Osvětlené zrcadlo zakázka 650x1000mm Double Line</t>
  </si>
  <si>
    <t>Osvětlené zrcadlo zakázka 800x700mm Double Line</t>
  </si>
  <si>
    <t>Osvětlené zrcadlo zakázka Ivan 970 x 760mm Classic Line</t>
  </si>
  <si>
    <t>Ovladač dimLED OVS 1KR</t>
  </si>
  <si>
    <t>Pohybový senzor do profilu pro LED pásky</t>
  </si>
  <si>
    <t>Pohybový senzor do profilu pre LED pásky</t>
  </si>
  <si>
    <t>Mozgásérzékelő profilba LED szalagokhoz</t>
  </si>
  <si>
    <t>Czujnik ruchu do profilu do taśmy LED</t>
  </si>
  <si>
    <t>Profil LED Mikro 2 2000mm černá elox</t>
  </si>
  <si>
    <t>Profil LED Mikro 2,2000mm,čierna elox</t>
  </si>
  <si>
    <t>TL-profil LED Mikro 2 alu elox 2000mm</t>
  </si>
  <si>
    <t>Profil LED Mikro 2  2000mm czarny anodowany</t>
  </si>
  <si>
    <t>Profil LED Mikro 2 2000mm stříbrná elox</t>
  </si>
  <si>
    <t>Profil LED Mikro 2 2000mm strieborná elox</t>
  </si>
  <si>
    <t xml:space="preserve"> Profil TL LED Micro 2 Alu Elox 2000mm</t>
  </si>
  <si>
    <t>Přijímač dimLED PR 1MINI-SL SLOW</t>
  </si>
  <si>
    <t>Přijímač dimLED PR 1SL SLOW</t>
  </si>
  <si>
    <t>SAL - nožní vypínač, napájecí zdroj 12V 6W, rozvaděč</t>
  </si>
  <si>
    <t>SAL - nožný vypínač, napájací zdroj 12V 6W, rozvádzač</t>
  </si>
  <si>
    <t>SAL - lábkapcsoló, tápegység 12V 6W, kapcsolótábla</t>
  </si>
  <si>
    <t>SAL alu profil pro LED pásky k zafrézování 2m</t>
  </si>
  <si>
    <t>SAL alu profil pre LED pásky k zafrézovaniu 2m</t>
  </si>
  <si>
    <t>SAL alu profil LED szalagokhoz bemarható 2m</t>
  </si>
  <si>
    <t>SAL alu profil do taśm LED do zafrezowania 2m</t>
  </si>
  <si>
    <t>S11000</t>
  </si>
  <si>
    <t>SAL bezdotykový spínač IR-2</t>
  </si>
  <si>
    <t>SAL érintés nélküli kapcsoló IR-2</t>
  </si>
  <si>
    <t>SAL wyłącznik bezdotykowy IR-2</t>
  </si>
  <si>
    <t>SAL koncovka k alu profilu pro LED pásky</t>
  </si>
  <si>
    <t>SAL koncovka k alu profilu pre LED pásky</t>
  </si>
  <si>
    <t>SAL alu profil végzáró LED szalagokhoz</t>
  </si>
  <si>
    <t>SAL końcówka do profilu do taśm LED</t>
  </si>
  <si>
    <t>SAL LED bodovka 12V 2W nerez broušená studená bílá</t>
  </si>
  <si>
    <t>SAL LED bodovka 12 V 2 W nehrdzavejúca oceľ brúsená studená biela</t>
  </si>
  <si>
    <t>SAL LED spotlámpa 12V 2W nemesacél csiszolt</t>
  </si>
  <si>
    <t>SAL LED światło punktowe 12V 2W stal nierdzewna szlifowana</t>
  </si>
  <si>
    <t>SAL LED bodovka OL11 12V 2W kartáčovaná ocel bílá neutrální</t>
  </si>
  <si>
    <t>SAL LED bodovka OL11 12V 2W kartáčovaná ocel biela neutrálna</t>
  </si>
  <si>
    <t>SAL LED spotlámpa OL11 12V 2W szálcsiszolt acél semleges fehér</t>
  </si>
  <si>
    <t>SAL LED światło punktowe OL11 12V 2W stal szczotkowana neutralny biały</t>
  </si>
  <si>
    <t>SAL LED bodovka OLK 10 12V 1,5W alu, bílá teplá</t>
  </si>
  <si>
    <t>SAL LED bodovka OLK 10 12V 1,5W alu, biela teplá</t>
  </si>
  <si>
    <t>SAL LED reflektor OLK 10 12V 1,5W alumínium</t>
  </si>
  <si>
    <t>SAL LED bodovky 12V 2W nerez broušená teplá bílá</t>
  </si>
  <si>
    <t>SAL LED bodovky 12V 2W nehrdzavejúca oceľ brúsená, teplá biela</t>
  </si>
  <si>
    <t>SAL LED spotlámpa 12V 2W nemesacél csiszolt meleg fehér</t>
  </si>
  <si>
    <t>SAL LED światło punktowe 12V 2W stal nierdzewna szlifowana ciepły biały</t>
  </si>
  <si>
    <t>SAL LED pásek 4,8W/m 12V 8mm červená</t>
  </si>
  <si>
    <t>SAL LED pásik 4,8W/m 12V červená</t>
  </si>
  <si>
    <t>SAL LED szalag 4,8W/m 12V piros</t>
  </si>
  <si>
    <t>SAL LED taśma 4,8W/m 12V czerwona</t>
  </si>
  <si>
    <t>SAL LED pásek 4,8W/m 12V 8mm modrá IP20</t>
  </si>
  <si>
    <t>SAL LED pásik 4,8W/m 12V modrá</t>
  </si>
  <si>
    <t>SAL LED szalag 4,8W/m 12V kék</t>
  </si>
  <si>
    <t>SAL LED taśma 4,8W/m 12V niebieski</t>
  </si>
  <si>
    <t>SAL LED světlo na skleněné police 0,25W modrá</t>
  </si>
  <si>
    <t>SAL LED svetlo na sklenené police 0,25 W modrá</t>
  </si>
  <si>
    <t>SAL LED megvilágítás üveg polcokra 0,25W kék</t>
  </si>
  <si>
    <t>SAL LED oświetlenie półek szklanych 0,25W niebieski</t>
  </si>
  <si>
    <t>SAL LED světlo na skleněné police 0,25W zelená</t>
  </si>
  <si>
    <t>SAL LED svetlo na sklenené police 0,25W zelená</t>
  </si>
  <si>
    <t>SAL LED megvilágítás üveg polcokra 0,25W</t>
  </si>
  <si>
    <t>SAL LED oświetlenie półek szklanych 0,25W, zielone</t>
  </si>
  <si>
    <t>SAL naklapávací krytka matná pro LED profil 2m</t>
  </si>
  <si>
    <t>SAL naklapávacia krytka matná pre LED profil 2m</t>
  </si>
  <si>
    <t>SAL rápattintható takaró profil matt LED profilhoz 2m</t>
  </si>
  <si>
    <t>SAL zaślepka do profilu do taśm LED 2m nabijana</t>
  </si>
  <si>
    <t>SAL napájecí kabel bez vypínače 2m bílý</t>
  </si>
  <si>
    <t>SAL napájací kábel bez vypínača 2m biely</t>
  </si>
  <si>
    <t>SAL tápkábel kapcsoló nélkül 2m fehér</t>
  </si>
  <si>
    <t>SAL kabel zasilający bez wyłącznika 2m biały</t>
  </si>
  <si>
    <t>SAL napájecí kabel bez vypínače 3m bílý</t>
  </si>
  <si>
    <t>SAL napájací kábel bez vypínača 3m biely</t>
  </si>
  <si>
    <t>SAL tápkábel kapcsoló nélkül 3m fehér</t>
  </si>
  <si>
    <t>SAL kabel zasilający bez wyłącznika 3m biały</t>
  </si>
  <si>
    <t>SAL-LED bodovka 12V  2W staromosaz neutrální bílá</t>
  </si>
  <si>
    <t>SAL-LED bodovka 12V  2W staromosadzneutrálna  biela</t>
  </si>
  <si>
    <t>SAL-LED spotlámpa 12V 2W antik sárgaréz semleges fehér</t>
  </si>
  <si>
    <t>SAL-LED punktowe 12V 2W mosiądz postarzany, neutralny biały</t>
  </si>
  <si>
    <t>SK-H-2.5MM2 PP M Svorkovnice</t>
  </si>
  <si>
    <t>SK-H-2.5MM2 PP M Svorkovnica</t>
  </si>
  <si>
    <t>SK-H-2.5MM2 PP M sorkapcsok</t>
  </si>
  <si>
    <t>SK-H-2.5MM2 PP M zacisk</t>
  </si>
  <si>
    <t>S-kolébkový vypínač k LED dnům</t>
  </si>
  <si>
    <t>S-kolískový vypínač k LED dnom</t>
  </si>
  <si>
    <t>S-billenőkapcsoló LED aljakhoz</t>
  </si>
  <si>
    <t>S-wyłącznik kołyskowy do den ledowych</t>
  </si>
  <si>
    <t>SK-propojovací kabel bílý 200mm Mera LED PP</t>
  </si>
  <si>
    <t>SK-prepájací kábel biely 200mm Mera LED PP</t>
  </si>
  <si>
    <t>SK - csatlakozó kábel fehér 200mm Mera LED PP</t>
  </si>
  <si>
    <t>SK-kabel łączący biały 200mm Mera LED PP</t>
  </si>
  <si>
    <t>S-LED krytka click mléčná 3m</t>
  </si>
  <si>
    <t>S-LED krytka click mliečna 3m</t>
  </si>
  <si>
    <t>S-LED takaró profil click tejfehér szín 3m</t>
  </si>
  <si>
    <t>S-LED zaślepka click mleczna 3m</t>
  </si>
  <si>
    <t>S-LED narážecí profil včetně těsnění 3m</t>
  </si>
  <si>
    <t>S-LED narážací prof. vrátane tesnenia 3m</t>
  </si>
  <si>
    <t>S-LED rápattintható profil, tömítéssel 3m</t>
  </si>
  <si>
    <t>S-LED profil nabijany z uszczelką 3m</t>
  </si>
  <si>
    <t>Spojka RGBW LED pásků rohová - tvar L</t>
  </si>
  <si>
    <t>Spojka RGBW LED pásikov rohová - tvar L</t>
  </si>
  <si>
    <t>TL-RGBW kattanócsatlakozó L</t>
  </si>
  <si>
    <t>Złącze narożne do taśm LED RGBW – kształt L</t>
  </si>
  <si>
    <t>Stahovací páska 3,6x370mm černá, balení 100 ks</t>
  </si>
  <si>
    <t>Sťahovacia páska 3,6x370mm čierna, balenie 100 ks</t>
  </si>
  <si>
    <t>BAL</t>
  </si>
  <si>
    <t>Feszítőszalag 3,6x370 mm fekete, csomagolás 100 db</t>
  </si>
  <si>
    <t>Opaska zaciskowa 3,6x370mm czarna, opakowanie 100 szt.</t>
  </si>
  <si>
    <t>STRONG LED pásek 7,2W/m 12V 10mm bílá studená IP65</t>
  </si>
  <si>
    <t>STRONG LED pásik 7,2W/m 12V 10mm biela studená IP65</t>
  </si>
  <si>
    <t>STRONG LED szalag 7,2W/m 12V hideg fehér IP65</t>
  </si>
  <si>
    <t>STRONG taśma LED 7,2W/m 12V zimna biała IP65</t>
  </si>
  <si>
    <t>StrongLumio All in One unit 24V 100W (CCT)</t>
  </si>
  <si>
    <t>StrongLumio All in One unit 24V 100W (RGB)</t>
  </si>
  <si>
    <t>StrongLumio All in One unit 24V 100W (RGBCCT)</t>
  </si>
  <si>
    <t>StrongLumio All in One unit 24V 100W (RGBW)</t>
  </si>
  <si>
    <t>StrongLumio All in One unit 24V 100W (stmívání)</t>
  </si>
  <si>
    <t>StrongLumio All in One unit 24V 100W (stmievanie)</t>
  </si>
  <si>
    <t>StrongLumio All in One unit 24V 100W (fényerőszabályzás)</t>
  </si>
  <si>
    <t>StrongLumio All in One unit 24V 100W (ściemniacz)</t>
  </si>
  <si>
    <t>StrongLumio All in One unit 24V 50W (CCT)</t>
  </si>
  <si>
    <t>StrongLumio All in One unit 24V 50W (RGB)</t>
  </si>
  <si>
    <t>StrongLumio All in One unit 24V 50W (RGBCCT)</t>
  </si>
  <si>
    <t>StrongLumio All in One unit 24V 50W (RGBW)</t>
  </si>
  <si>
    <t>StrongLumio All in One unit 24V 50W (stmívání)</t>
  </si>
  <si>
    <t>StrongLumio All in One unit 24V 50W (stmievanie)</t>
  </si>
  <si>
    <t>StrongLumio All in One unit 24V 50W (fényerőszabályzás)</t>
  </si>
  <si>
    <t>StrongLumio All in One unit 24V 50W (ściemniacz)</t>
  </si>
  <si>
    <t>StrongLumio bezdotykový senzor do profilu CCT, 12-24V 8A</t>
  </si>
  <si>
    <t>StrongLumio érintésnélüli érzékelő profilba CCT 12-24V 8A</t>
  </si>
  <si>
    <t>StrongLumio bezdotykowy wyłącznik do profilu CCT, 12-24V 8A</t>
  </si>
  <si>
    <t>StrongLumio bezdotykový vypínač plast, 12-24V, 4A konektory Mini</t>
  </si>
  <si>
    <t>StrongLumio érintésnélüli kapcsoló műanyag,12-24V,4A, konektor Mini</t>
  </si>
  <si>
    <t>StrongLumio bezdotykowy wyłącznik, plastik, 12-24V, 4A, konektory Mini</t>
  </si>
  <si>
    <t>StrongLumio bezdotykový vypínač/stmívač alu, 12/24V 48/96W 4A Mini, bílá</t>
  </si>
  <si>
    <t>StrongLumio bezdotykový vypínač/stmievač alu, 12/24V 48/96W 4A Mini, biela</t>
  </si>
  <si>
    <t>StrongLumio érintésnélüli kapcsoló/fényerőszabályozó alu 12/24V 48/96W 4A fehér</t>
  </si>
  <si>
    <t>StrongLumio bezdotykowy wył/ściemn. alu, 12/24V 48/96W 4A konektory Mini, bialy</t>
  </si>
  <si>
    <t>StrongLumio bezdotykový vypínač/stmívač alu, 12/24V 48/96W 4A Mini, černá</t>
  </si>
  <si>
    <t>StrongLumio bezdotykový vypínač/stmievač alu, 12/24V 48/96W 4A Mini, čierna</t>
  </si>
  <si>
    <t>StrongLumio érintésnélküli kapcsoló/szabályozó alu 12/24V 48/96W 4A fekete</t>
  </si>
  <si>
    <t>StrongLumio bezdotyk. wył./ściemn. alu, 12/24V 48/96W 4A konektory Mini, czarny</t>
  </si>
  <si>
    <t>StrongLumio bezdotykový vypínač/stmívač alu, 12/24V 4A konektory Mini, stříbrná</t>
  </si>
  <si>
    <t>StrongLumio bezdotyk. vypínač/stmievač alu, 12/24V 4A konektory Mini, strieborná</t>
  </si>
  <si>
    <t>StrongLumio érintésnélküli kapcsoló/szabályozó alu 12/24V 48/96W 4A ezüst</t>
  </si>
  <si>
    <t>StrongLumio bezdotyk.wył/ściemniacz alu, 12/24V 48/96W 4A konektory Mini,srebrny</t>
  </si>
  <si>
    <t>StrongLumio bezdrátový nabíjecí dotykový vypínač/stmívač</t>
  </si>
  <si>
    <t>StrongLumio bezdrôtový nabíjací dotykový vypínač/stmievač</t>
  </si>
  <si>
    <t>StrongLumio vezetéknélküli érintőkapcsoló / fényerőszabályzó, tölthető</t>
  </si>
  <si>
    <t>StrongLumio bezdrátový nabíjecí dveřní senzor</t>
  </si>
  <si>
    <t>StrongLumio bezdrôtový nabíjací dverový senzor</t>
  </si>
  <si>
    <t>StrongLumio vezetéknélküli ajtóérzékelő, tölthető</t>
  </si>
  <si>
    <t>StrongLumio bezdrátový samonapájecí dveřní vypínač bílý</t>
  </si>
  <si>
    <t>StrongLumio bezdrôtový samonapájací dverový vypínač biely</t>
  </si>
  <si>
    <t>StrongLumio bezprzewodowy wyłącznik drzwiowy z własnym zasilaniem biały</t>
  </si>
  <si>
    <t>StrongLumio bezdrátový samonapájecí dveřní vypínač černý</t>
  </si>
  <si>
    <t>StrongLumio bezdrôtový samonapájací dverový vypínač čierny</t>
  </si>
  <si>
    <t>StrongLumio bezprzewodowy wyłącznik drzwiowy z własnym zasilaniem czarny</t>
  </si>
  <si>
    <t>StrongLumio bezdrátový vypínač samonapájecí - 1 tlačítko bílá</t>
  </si>
  <si>
    <t>StrongLumio bezdrôtový vypínač samonapájací - 1 tlačidlo, biela</t>
  </si>
  <si>
    <t>StrongLumio öntápláló vezetéknélküli kapcsoló - fehér, egy gombos</t>
  </si>
  <si>
    <t>StrongLumio Bezprzewodowy wyłącznik samozasilający - 1 przycisk biały</t>
  </si>
  <si>
    <t>StrongLumio bezdrátový vypínač samonapájecí - 1 tlačítko černá</t>
  </si>
  <si>
    <t>StrongLumio bezdrôtový vypínač samonapájací - 1 tlačidlo, čierna</t>
  </si>
  <si>
    <t>StrongLumio öntápláló vezetéknélküli kapcsoló - fekete, egy gombos</t>
  </si>
  <si>
    <t>StrongLumio Bezprzewodowy wyłącznik  samozasilający - 1 przycisk czarny</t>
  </si>
  <si>
    <t>StrongLumio bezdrátový vypínač samonapájecí - 1 tlačítko stříbrná</t>
  </si>
  <si>
    <t>StrongLumio bezdrôtový vypínač samonapájací - 1 tlačidlo, strieborná</t>
  </si>
  <si>
    <t>StrongLumio öntápláló vezetéknélküli kapcsoló - ezüst, egy gombos</t>
  </si>
  <si>
    <t>StrongLumio Bezprzewodowy wyłącznik samozasilający - 1 przycisk srebrny</t>
  </si>
  <si>
    <t>StrongLumio bezdrátový vypínač samonapájecí - 1 tlačítko zlatá</t>
  </si>
  <si>
    <t>StrongLumio bezdrôtový vypínač samonapájací - 1 tlačidlo, zlatá</t>
  </si>
  <si>
    <t>StrongLumio öntápláló vezetéknélküli kapcsoló - arany, egy gombos</t>
  </si>
  <si>
    <t>StrongLumio Bezprzewodowy wyłącznik samozasilający - 1 przycisk złoty</t>
  </si>
  <si>
    <t>StrongLumio bezdrátový vypínač samonapájecí - 2 tlačítka bílá</t>
  </si>
  <si>
    <t>StrongLumio bezdrôtový vypínač samonapájací - 2 tlačidlá, biela</t>
  </si>
  <si>
    <t>StrongLumio öntápláló vezetéknélküli kapcsoló - fehér, kettő gombos</t>
  </si>
  <si>
    <t>StrongLumio Bezprzewodowy wyłącznik samozasilający - 2 przyciski biały</t>
  </si>
  <si>
    <t>StrongLumio bezdrátový vypínač samonapájecí - 2 tlačítka černá</t>
  </si>
  <si>
    <t>StrongLumio bezdrôtový vypínač samonapájací - 2 tlačidlá, čierna</t>
  </si>
  <si>
    <t>StrongLumio öntápláló vezetéknélküli kapcsoló - fekete, két gombos</t>
  </si>
  <si>
    <t>StrongLumio Bezprzewodowy wyłącznik samozasilający - 2 przyciski czarny</t>
  </si>
  <si>
    <t>StrongLumio bezdrátový vypínač samonapájecí - 2 tlačítka stříbrná</t>
  </si>
  <si>
    <t>StrongLumio bezdrôtový vypínač samonapájací - 2 tlačidlá, strieborná</t>
  </si>
  <si>
    <t>StrongLumio öntápláló vezetéknélküli kapcsoló - ezüst, kettő gombos</t>
  </si>
  <si>
    <t>StrongLumio Bezprzewodowy wyłącznik samozasilający - 2 przyciski srebrny</t>
  </si>
  <si>
    <t>StrongLumio bezdrátový vypínač samonapájecí - 2 tlačítka zlatá</t>
  </si>
  <si>
    <t>StrongLumio bezdrôtový vypínač samonapájací - 2 tlačidlá, zlatá</t>
  </si>
  <si>
    <t>StrongLumio öntápláló vezetéknélküli kapcsoló - arany, kettő gombos</t>
  </si>
  <si>
    <t>StrongLumio Bezprzewodowy wyłącznik samozasilający - 2 przyciski złoty</t>
  </si>
  <si>
    <t>StrongLumio bezdrátový vypínač samonapájecí - 3 tlačítka bílá</t>
  </si>
  <si>
    <t>StrongLumio bezdrôtový vypínač samonapájací - 3 tlačidlá, biela</t>
  </si>
  <si>
    <t>StrongLumio öntápláló vezetéknélküli kapcsoló - fehér, három gombos</t>
  </si>
  <si>
    <t>StrongLumio Bezprzewodowy wyłącznik samozasilający - 3 przyciski biały</t>
  </si>
  <si>
    <t>StrongLumio bezdrátový vypínač samonapájecí - 3 tlačítka černá</t>
  </si>
  <si>
    <t>StrongLumio bezdrôtový vypínač samonapájací - 3 tlačidlá, čierna</t>
  </si>
  <si>
    <t>StrongLumio öntápláló vezetéknélküli kapcsoló - fekete, három gombos</t>
  </si>
  <si>
    <t>StrongLumio Bezprzewodowy wyłącznik samozasilający - 3 przyciski czarny</t>
  </si>
  <si>
    <t>StrongLumio bezdrátový vypínač samonapájecí - 3 tlačítka stříbrná</t>
  </si>
  <si>
    <t>StrongLumio bezdrôtový vypínač samonapájací - 3 tlačidlá, strieborná</t>
  </si>
  <si>
    <t>StrongLumio öntápláló vezetéknélküli kapcsoló - ezüst, három gombos</t>
  </si>
  <si>
    <t>StrongLumio Bezprzewodowy wyłącznik samozasilający - 3 przyciski srebrny</t>
  </si>
  <si>
    <t>StrongLumio bezdrátový vypínač samonapájecí 35mm k zafrézování bílý</t>
  </si>
  <si>
    <t>StrongLumio bezdrátový vypínač samonapájací 35mm k zafrézovaniu biely</t>
  </si>
  <si>
    <t>StrongLumio vezeték nélküli, önellátó kapcsoló, 35 mm-es, bemaráshoz, fehér</t>
  </si>
  <si>
    <t>StrongLumio bezprzewodowy wyłącznik samonapędowy 35 mm do frezowania, biały</t>
  </si>
  <si>
    <t>StrongLumio bezdrátový vypínač samonapájecí 35mm k zafrézování černý</t>
  </si>
  <si>
    <t>StrongLumio bezdrátový vypínač samonapájací 35mm k zafrézovaniu čierny</t>
  </si>
  <si>
    <t>StrongLumio vezeték nélküli, önellátó kapcsoló, 35 mm-es,bemaráshoz, fekete</t>
  </si>
  <si>
    <t>StrongLumio bezprzewodowy wyłącznik samonapędowy 35 mm do frezowania, czarny</t>
  </si>
  <si>
    <t>StrongLumio bezdrátový vypínač samonapájecí kulatý bílý</t>
  </si>
  <si>
    <t>StrongLumio bezdrôtový vypínač samonapájacíí guľatý biely</t>
  </si>
  <si>
    <t>StrongLumio bezprzewodowy wyłącznik  z własnym zasilaniem okrągły biały</t>
  </si>
  <si>
    <t>StrongLumio bezdrátový vypínač samonapájecí kulatý černý</t>
  </si>
  <si>
    <t>StrongLumio bezdrôtový vypínač samonapájací guľatý čierny</t>
  </si>
  <si>
    <t>StrongLumio bezprzewodowy wyłącznik samozasilający okrągły czarny</t>
  </si>
  <si>
    <t>StrongLumio čidlo pro vypínač/dveřní senzor, bílá</t>
  </si>
  <si>
    <t>StrongLumio čidlo pre vypínač/dverný senzor, biela</t>
  </si>
  <si>
    <t>StrongLumio Ajtó kapcsoló / érzékelő, 3 szenzoros, 12-24V 8A, fehér</t>
  </si>
  <si>
    <t>StrongLumio czujnik do wyłacznika/do drzwi, biały</t>
  </si>
  <si>
    <t>StrongLumio čidlo pro vypínač/dveřní senzor, černá</t>
  </si>
  <si>
    <t>StrongLumio čidlo pre vypínač/dverný senzor, čierna</t>
  </si>
  <si>
    <t>StrongLumio Ajtó kapcsoló / érzékelő, 3 szenzoros, 12-24V 8A, fekete</t>
  </si>
  <si>
    <t>StrongLumio czujnik do wyłacznika/do drzwi, czarny</t>
  </si>
  <si>
    <t>StrongLumio dálkový ovladač otočný DIM/CCT/RGB/RGBW - 1 zóna</t>
  </si>
  <si>
    <t>StrongLumio diaľkový ovládač otočný DIM/CCT/RGB/RGBW - 1 zóna</t>
  </si>
  <si>
    <t>StrongLumio távirányító, forgó gomb, DIM/CCT/RGB/RGBW - 1 zóna</t>
  </si>
  <si>
    <t>StrongLumio Pilot obrotowy DIM/CCT/RGB/RGBW - 1 strefa</t>
  </si>
  <si>
    <t>StrongLumio dálkový ovladač pro digitální LED pásky 12-24V</t>
  </si>
  <si>
    <t>StrongLumio diaľkový ovládač pre digitálne LED pásky 12-24V</t>
  </si>
  <si>
    <t>StrongLumio dálkový ovladač RF univerzální 2 v 1</t>
  </si>
  <si>
    <t>StrongLumio Diaľkový ovládač RF Univerzálny 2 v 1</t>
  </si>
  <si>
    <t>StrongLumio RF távirányító, univerzális, 2 az 1-ben</t>
  </si>
  <si>
    <t>StrongLumio pilot RF uniwersalny 2 w 1</t>
  </si>
  <si>
    <t>StrongLumio dálkový ovladač RF univerzální, 5 v 1</t>
  </si>
  <si>
    <t>StrongLumio diaľkový ovládač RF univerzálny, 5 v 1</t>
  </si>
  <si>
    <t>StrongLumio RF távirányító, univerzális, 5 az 1-ben</t>
  </si>
  <si>
    <t>StrongLumio pilot RF uniwersalny, 5 w 1</t>
  </si>
  <si>
    <t>StrongLumio dotykový senzor s pružinou do profilu, 12-24V 8A</t>
  </si>
  <si>
    <t>StrongLumio érintésérzékelő rugóval, 12-24V 8A, ALU profilhoz</t>
  </si>
  <si>
    <t>StrongLumio dotykowy wyłącznik do profilu, 12-24V 8A</t>
  </si>
  <si>
    <t>StrongLumio dotykový vypínač/stmívač pro digitální LED pásky 12-24V</t>
  </si>
  <si>
    <t>StrongLumio dotykový vypínač/stmievač pre digitálne LED pásiky 12-24V</t>
  </si>
  <si>
    <t>StrongLumio érintéses kapcsoló / fényerő-szabályzó digitális LED szalagokhoz 12–</t>
  </si>
  <si>
    <t>StrongLumio dotykowy włącznik/ściemniacz do cyfrowych taśm LED 12–24V</t>
  </si>
  <si>
    <t>StrongLumio držák pro zavěšení k profilům Maglyte</t>
  </si>
  <si>
    <t>StrongLumio držiak na zavesenie k profilom Maglyte</t>
  </si>
  <si>
    <t>StrongLumio rögzítő a Maglyte profilokhoz</t>
  </si>
  <si>
    <t>StrongLumio uchwyt do zawieszania na profilach Maglyte</t>
  </si>
  <si>
    <t>StrongLumio dveřní senzor alu 12/24V - 3PIN stříbrná</t>
  </si>
  <si>
    <t>StrongLumio dverný senzor alu 12/24V - 3PIN strieborná</t>
  </si>
  <si>
    <t>StrongLumio ajtószenzor alu 12/24V - 3PIN ezüst</t>
  </si>
  <si>
    <t>StrongLumio czujnik drzwiowy aluminiowy 12/24V - 3PIN</t>
  </si>
  <si>
    <t>StrongLumio dveřní senzor alu, 12/24V 48/96W 4A konektory Mini, bílá</t>
  </si>
  <si>
    <t>StrongLumio dverový senzor alu, 12/24V 48/96W 4A konektory Mini, biela</t>
  </si>
  <si>
    <t>StrongLumio alu ajtóérzékelő, 12/24V 48/96W 4A ,Mini csatlakozókkal, fehér</t>
  </si>
  <si>
    <t>StrongLumio wyłacznik drzwiowy alu, 12/24V 48/96W 4A konektory Mini, biały</t>
  </si>
  <si>
    <t>StrongLumio dveřní senzor alu, 12/24V 48/96W 4A konektory Mini, černá</t>
  </si>
  <si>
    <t>StrongLumio dverový senzor alu, 12/24V 48/96W 4A konektory Mini, čierna</t>
  </si>
  <si>
    <t>StrongLumio alu ajtóérzékelő, 12/24V 48/96W 4A ,Mini csatlakozókkal, fekete</t>
  </si>
  <si>
    <t>StrongLumio wyłacznik drzwiowy alu, 12/24V 48/96W 4A konektory Mini, czarny</t>
  </si>
  <si>
    <t>StrongLumio dveřní senzor alu, 12/24V 48/96W 4A konektory Mini, stříbrná</t>
  </si>
  <si>
    <t>StrongLumio dverný senzor alu, 12/24V 48/96W 4A konektory Mini, strieborná</t>
  </si>
  <si>
    <t>StrongLumio alu ajtóérzékelő, 12/24V 48/96W 4A ,Mini csatlakozókkal, ezüst</t>
  </si>
  <si>
    <t>StrongLumio wyłacznik drzwiowy alu 12/24V 48/96W 4A konektory Mini, srebrny</t>
  </si>
  <si>
    <t>StrongLumio dveřní senzor plast, 12-24V, 4A konektory Mini, bílá</t>
  </si>
  <si>
    <t>StrongLumio dverový senzor plast, 12-24V, 4A konektory Mini, biela</t>
  </si>
  <si>
    <t>StrongLumio ajtóérzékelő műanyag,12-24V 4A, Mini csatlakozók, fehér</t>
  </si>
  <si>
    <t>StrongLumio czujnik do drzwi, plastik, 12-24V, 4A, konektory Mini, biały</t>
  </si>
  <si>
    <t>StrongLumio dveřní vypínač pro max 4 magnetické senzory, 12/24V</t>
  </si>
  <si>
    <t>StrongLumio dverový vypínač pre max 4 magnetické senzory, 12/24V</t>
  </si>
  <si>
    <t>StrongLumio wyłącznik drzwiowy dla maksymalnie 4 magnetycznych czujników, 12/24V</t>
  </si>
  <si>
    <t>StrongLumio Dvojlinka 2x0,5mm 2 20AWG bílo-červená</t>
  </si>
  <si>
    <t>StrongLumio Dvojlinka 2x0,5mm 2 20AWG bielo-červená</t>
  </si>
  <si>
    <t>StrongLumio Kéteres kábel 2x0,5mm 2 20AWG fehér-piros</t>
  </si>
  <si>
    <t>StrongLumio Przewód dwużyłowy 2x0,5mm 2 20AWG</t>
  </si>
  <si>
    <t>StrongLumio Dvojlinka 2x0,5mm2 20AWG, červeno-černá</t>
  </si>
  <si>
    <t>StrongLumio dvojlinka 2x0,5mm2 20AWG, červeno-čierna</t>
  </si>
  <si>
    <t>StrongLumio Kéteres kábel 2x0,5mm 2 20AWG piros-fekete</t>
  </si>
  <si>
    <t>StrongLumio Przewód dwużyłowy 2x0,5mm 2 20AWG, czerwono-czarny</t>
  </si>
  <si>
    <t>StrongLumio Elektroinstalační lišta 12x7mm samolepící, bílá, 2m</t>
  </si>
  <si>
    <t>StrongLumio elektroinštalačná lišta 12x7mm samolepiaca, biela, 2m</t>
  </si>
  <si>
    <t>StrongLumio kábelcsatorna 12x7mm öntapadó fehér 2m</t>
  </si>
  <si>
    <t>StrongLumio Profile maskujące do przewodów 12x7mm samoprzylepne, biały, 2m</t>
  </si>
  <si>
    <t>StrongLumio Elektroinstalační lišta 12x7mm samolepící, imitace dřeva natur, 1m</t>
  </si>
  <si>
    <t>StrongLumio elektroinštalačná lišta 12x7mm samolepiaca, imitácia dreva natur, 1m</t>
  </si>
  <si>
    <t>StrongLumio kábelcsatorna 12x7mm öntapadó fa imitáció 1m</t>
  </si>
  <si>
    <t>StrongLumio Profile maskujące do przewodów 12x7mm, imitacja drewna natural., 1m</t>
  </si>
  <si>
    <t>StrongLumio Elektroinstalační lišta 12x7mm samolepící, imitace dřeva natur, 2m</t>
  </si>
  <si>
    <t>StrongLumio elektroinštalačná lišta 12x7mm samolepiaca, imitácia dreva natur, 2m</t>
  </si>
  <si>
    <t>StrongLumio kábelcsatorna 12x7mm öntapadó fa imitáció 2m</t>
  </si>
  <si>
    <t>StrongLumio Profile mask. do przewodów 12x7mm samoprzylepne, imit. drew.nat., 2m</t>
  </si>
  <si>
    <t>StrongLumio Elektroinstalační lišta 12x7mm samolepící, imitace dřeva tmavá, 2m</t>
  </si>
  <si>
    <t>StrongLumio elektroinštalačná lišta 12x7mm samolepiaca, imitácia dreva tmavá, 2m</t>
  </si>
  <si>
    <t>StrongLumio kábelcsatorna 12x7mm öntapadó sötét fa imitáció 2m</t>
  </si>
  <si>
    <t>StrongLumio Profile maskujące do przewodów 12x7mm, imit. drewna ciemne, 2m</t>
  </si>
  <si>
    <t>StrongLumio Elektroinstalační lišta 15x10mm samolepící, bílá, 2m</t>
  </si>
  <si>
    <t>StrongLumio elektroinštalačná lišta 15x10mm samolepiaca, biela, 2m</t>
  </si>
  <si>
    <t>StrongLumio kábelcsatorna 15x10mm öntapadó fehér 2m</t>
  </si>
  <si>
    <t>StrongLumio Profile maskujące do przewodów 15x10mm samoprzylepne, biały, 2m</t>
  </si>
  <si>
    <t>StrongLumio flexibilní dotykový vypínač/stmívač do alu profilu</t>
  </si>
  <si>
    <t>StrongLumio flexibilný dotykový vypínač/stmievač do alu profilu</t>
  </si>
  <si>
    <t>StrongLumio rugalmas érintőkapcsoló/dimmer alumínium profilhoz</t>
  </si>
  <si>
    <t>StrongLumio elastyczny dotykowy włącznik/ściemniacz do profilu aluminiowego</t>
  </si>
  <si>
    <t>StrongLumio interiérové LED světlo Mini 300mm černá</t>
  </si>
  <si>
    <t>StrongLumio fürdőszoba LED fény Mini 300mm fekete</t>
  </si>
  <si>
    <t>StrongLumio oświetlenie łazienkowe LED Mini 300mm, czarny</t>
  </si>
  <si>
    <t>StrongLumio interiérové LED světlo Mini 600mm černá</t>
  </si>
  <si>
    <t>StrongLumio vnútorné LED svetlo Mini 600mm čierna</t>
  </si>
  <si>
    <t>StrongLumio fürdőszoba LED fény Mini 600mm fekete</t>
  </si>
  <si>
    <t>StrongLumio LED oświetlenie łazienkowe Mini 600 mm, czarny</t>
  </si>
  <si>
    <t>StrongLumio kabel 230V + nožní vypínač, 3,5m 2,5A</t>
  </si>
  <si>
    <t>StrongLumio kábel 230V + nožný vypínač 3,5m 2,5A</t>
  </si>
  <si>
    <t>StrongLumio kábel 230V + lábkapcsoló 3,5m 2,5A</t>
  </si>
  <si>
    <t>StrongLumio kabel 230V + wyłącznik nożny 3,5m 2,5A</t>
  </si>
  <si>
    <t>StrongLumio kabel propojovací 1m LED 10mm, zacvakávací Mini</t>
  </si>
  <si>
    <t>StrongLumio kábel prepojovací 1m LED 10mm, zacvakávací Mini</t>
  </si>
  <si>
    <t>StrongLumio csatlakozó kábel, 10mm LED szalaghoz bepattintható, Mini konektor, 1</t>
  </si>
  <si>
    <t>StrongLumio złącze zatrzaskowe 1m LED 10mm, z zaciskiem Mini</t>
  </si>
  <si>
    <t>StrongLumio kabel propojovací 1m LED 8mm, zacvakávací Mini</t>
  </si>
  <si>
    <t>StrongLumio kábel prepojovací 1 m LED 8mm, zacvakávací Mini</t>
  </si>
  <si>
    <t>StrongLumio csatlakozó kábel, 8mm LED szalaghoz bepattintható, Mini konektor, 1m</t>
  </si>
  <si>
    <t>StrongLumio złącze zatrzaskowe 1 m LED 8mm, z zaciskiem Mini</t>
  </si>
  <si>
    <t>StrongLumio koncovka hranatá k profilu Belcore šedá</t>
  </si>
  <si>
    <t>StrongLumio koncovka hranatá k profilu Belcore, šedá</t>
  </si>
  <si>
    <t>STRONG végzáró szögletes LED-hez profil Belcore</t>
  </si>
  <si>
    <t>StrongLumio końcówka kwadratowa do LED profilu Belcore szara</t>
  </si>
  <si>
    <t>StrongLumio koncovka k profilu Arbona šedá</t>
  </si>
  <si>
    <t>StrongLumio koncovka k profilu Arbona, šedá</t>
  </si>
  <si>
    <t>STRONG végzáró Arbona LED-profilhoz</t>
  </si>
  <si>
    <t>StrongLumio końcówka do profilu LED Arbona szara</t>
  </si>
  <si>
    <t>StrongLumio koncovka k profilu Fanto šedá</t>
  </si>
  <si>
    <t>StrongLumio koncovka k profilu Fanto, šedá</t>
  </si>
  <si>
    <t>STRONG végzáró LED-hez profil Fanto</t>
  </si>
  <si>
    <t>StrongLumio końcówka do LED profilu Fanto szara</t>
  </si>
  <si>
    <t>StrongLumio koncovka k profilu Mikro 10 (pár)</t>
  </si>
  <si>
    <t>PAR</t>
  </si>
  <si>
    <t>StrongLumio végzáró LED profilhoz Mikro 10 (pár)</t>
  </si>
  <si>
    <t>TM-końcówki do profilu Mikro 10 (para)</t>
  </si>
  <si>
    <t>StrongLumio koncovka k profilu Ormio, bez otvoru</t>
  </si>
  <si>
    <t>STRONG végzáró LED-hez profil Ormio,lyuk nélkül</t>
  </si>
  <si>
    <t>StrongLumio końcówka do  profilu LED Ormio</t>
  </si>
  <si>
    <t>StrongLumio koncovka kulatá k profilu Belcore šedá</t>
  </si>
  <si>
    <t>StrongLumio koncovka guľatá k profilu Belcore, šedá</t>
  </si>
  <si>
    <t>STRONG végzáró gömbölyű LED-hez profil Belcore</t>
  </si>
  <si>
    <t>StrongLumio końcówka okrągła do  LED profilu Belcore szara</t>
  </si>
  <si>
    <t>StrongLumio koncovka pro LED pásek neon, bez otvoru</t>
  </si>
  <si>
    <t>StrongLumio koncovka pre LED pásik neon bez otvoru</t>
  </si>
  <si>
    <t>STRONG végzáró csatlakozó neon LED szalaghoz nyílás nélkül</t>
  </si>
  <si>
    <t>StrongLumio koncówka do taśmy LED Neon bez otworu na kable</t>
  </si>
  <si>
    <t>StrongLumio koncovka pro LED pásek neon, s otvorem</t>
  </si>
  <si>
    <t>StrongLumio koncovka pre LED pásik Neon s otvorom</t>
  </si>
  <si>
    <t>STRONG végzáró Neon LED-szalaghoz nyílással</t>
  </si>
  <si>
    <t>StrongLumio końcówka do  taśmy LED Neon z otworem na kable</t>
  </si>
  <si>
    <t>StrongLumio koncovka pro neon 4x10 "T", bez otvoru</t>
  </si>
  <si>
    <t>StrongLumio koncovka pre neon 4x10 "T", bez otvoru</t>
  </si>
  <si>
    <t>StrongLumio végzáró neoncsőhöz 4x10 „T”, nyílás nélkül</t>
  </si>
  <si>
    <t>StrongLumio koncovka pro neon 4x10 "T", s otvorem</t>
  </si>
  <si>
    <t>StrongLumio koncovka pre neon 4x10 "T", s otvorom</t>
  </si>
  <si>
    <t>StrongLumio végzáró neoncsőhöz 4x10 „T”, nyílással</t>
  </si>
  <si>
    <t>StrongLumio koncovka pro neon 6x12 bez otvoru</t>
  </si>
  <si>
    <t>StrongLumio koncovka pre neón 6x12 bez otvoru</t>
  </si>
  <si>
    <t>StrongLumio neon végzáró 6x12 furat nélkül</t>
  </si>
  <si>
    <t>StrongLumio koncovka pro silikonový profil 8x16mm, bez otvoru</t>
  </si>
  <si>
    <t>StrongLumio koncovka pre silikonový profil 8x16mm bez otvoru</t>
  </si>
  <si>
    <t>STRONG végzáró sapka 8x16mm-es szilikon profilhoz lyuk nélkül</t>
  </si>
  <si>
    <t>StrongLumio końcówka do silikonowego profilu 8x16mm bez otworu</t>
  </si>
  <si>
    <t>StrongLumio koncovka pro silikonový profil 8x16mm, s otvorem</t>
  </si>
  <si>
    <t>StrongLumio koncovka pre silikonový profil 8x16mm s otvorom</t>
  </si>
  <si>
    <t>STRONG végzáró szilikonprofilhoz 8x16mm nyílással</t>
  </si>
  <si>
    <t>StrongLumio koncówka do silikonowego profilu 8x16mm z otworem</t>
  </si>
  <si>
    <t>StrongLumio koncovky k profilu Arc 12 půlkulaté, šedá (pár)</t>
  </si>
  <si>
    <t>StrongLumio Koncovky k profilu Arc 12 pologuľaté, (pár) šedá</t>
  </si>
  <si>
    <t>StrongLumio végzáró LED profilhoz Arc 12 félkörív (pár) szürke</t>
  </si>
  <si>
    <t>StrongLumio końcówki do listwy Arc 12 półokrągłe, szare(para)</t>
  </si>
  <si>
    <t>StrongLumio koncovky k profilu Arc rovné, šedá (pár)</t>
  </si>
  <si>
    <t>StrongLumio végzáró LED profilhoz Arc egyenes (pár)</t>
  </si>
  <si>
    <t>StrongLumio końcówki do listwy Arc proste, szare(para)</t>
  </si>
  <si>
    <t>StrongLumio koncovky k profilu Begton 12 rovná, bílá (pár)</t>
  </si>
  <si>
    <t>StrongLumio koncovky k profilu Begton 12 rovná, biela (pár)</t>
  </si>
  <si>
    <t>StrongLumio végzáró LED profilhoz Begton fehér (pár)</t>
  </si>
  <si>
    <t>StrongLumio końcówki do profilu Begton 12 rovná, białe (para)</t>
  </si>
  <si>
    <t>StrongLumio koncovky k profilu Begton 12 rovná, černá (pár)</t>
  </si>
  <si>
    <t>StrongLumio koncovky k profilu Begton 12 rovná, čierna (pár)</t>
  </si>
  <si>
    <t>StrongLumio végzáró LED profilhoz Begton fekete (pár)</t>
  </si>
  <si>
    <t>StrongLumio końcówki do profilu Begton 12 rovná, czarne (para)</t>
  </si>
  <si>
    <t>StrongLumio koncovky k profilu Begton 12 rovná, šedá (pár)</t>
  </si>
  <si>
    <t>StrongLumio végzáró LED profilhoz Begton 12 szürke (pár)</t>
  </si>
  <si>
    <t>StrongLumio końcówki do profilu Begton 12 rovná, szare (para)</t>
  </si>
  <si>
    <t>StrongLumio koncovky k profilu Cabi bílá (pár)</t>
  </si>
  <si>
    <t>StrongLumio-koncovky k profilu Cabi biela (pár)</t>
  </si>
  <si>
    <t>StrongLumio végzáró LED profilhoz Cabi fehér (pár)</t>
  </si>
  <si>
    <t>StrongLumio końcówki do listwy Cabi białe (para)</t>
  </si>
  <si>
    <t>StrongLumio koncovky k profilu Cabi černá (pár)</t>
  </si>
  <si>
    <t>StrongLumio koncovky k profilu Cabi čierne (pár)</t>
  </si>
  <si>
    <t>StrongLumio végzáró LED profilhoz Cabi fekete (pár)</t>
  </si>
  <si>
    <t>StrongLumio końcówki do listwy Cabi czarne (para)</t>
  </si>
  <si>
    <t>StrongLumio koncovky k profilu Diagonal 10 bílá (pár)</t>
  </si>
  <si>
    <t>TM-koncovky k lište Diagonal 10 biela (pár)</t>
  </si>
  <si>
    <t>TM-zárókupakok Diagonal 10 fehér (pár)</t>
  </si>
  <si>
    <t>StrongLumio-końcówki do listwy Diagonal 10 białe (para)</t>
  </si>
  <si>
    <t>StrongLumio koncovky k profilu Diagonal 10 černá (pár)</t>
  </si>
  <si>
    <t>StrongLumio koncovky k profilu Diagonal 10 čierna (pár)</t>
  </si>
  <si>
    <t>StrongLumio végzáró LED profilhoz Diagonal 10 fekete (pár)</t>
  </si>
  <si>
    <t>StrongLumio-końcówki do listwy Diagonal 10 czarne (para)</t>
  </si>
  <si>
    <t>StrongLumio koncovky k profilu Diagonal 10 šedá (pár)</t>
  </si>
  <si>
    <t>StrongLumio Koncovky k lište Diagonal 10 šedá (pár)</t>
  </si>
  <si>
    <t>StrongLumio végzáró LED profilhoz Diagonal 10 szürke (pár)</t>
  </si>
  <si>
    <t>StrongLumio-końcówki do listwy Diagonal 10 szare (para)</t>
  </si>
  <si>
    <t>StrongLumio koncovky k profilu Diagonal 14 bílá (pár)</t>
  </si>
  <si>
    <t>StrongLumio-koncovky k profilu Diagonal 14 biela (pár)</t>
  </si>
  <si>
    <t>TM-zárókupakok Diagonal 14 fehér (pár)</t>
  </si>
  <si>
    <t>StrongLumio końcówki do listwy Diagonal 14 białe (para)</t>
  </si>
  <si>
    <t>StrongLumio koncovky k profilu Diagonal 14 černá (pár)</t>
  </si>
  <si>
    <t>StrongLumio koncovky k profilu Diagonal 14 čierna (pár)</t>
  </si>
  <si>
    <t>StrongLumio végzáró LED profilhoz Diagonal 14 fekete (pár)</t>
  </si>
  <si>
    <t>StrongLumio końcówki do listwy Diagonal 14 czarne (para)</t>
  </si>
  <si>
    <t>StrongLumio koncovky k profilu Diagonal 14 šedá (pár)</t>
  </si>
  <si>
    <t>StrongLumio Koncovky k profilu Diagonal 14 šedá (pár)</t>
  </si>
  <si>
    <t>StrongLumio végzáró LED profilhoz Diagonal 14 szürke (pár)</t>
  </si>
  <si>
    <t>StrongLumio końcówki do listwy Diagonal 14 szare (para)</t>
  </si>
  <si>
    <t>StrongLumio koncovky k profilu Flat šedá (pár)</t>
  </si>
  <si>
    <t>StrongLumio végzáró LED profilhoz Flat (pár)</t>
  </si>
  <si>
    <t>StrongLumio końcówki do LED listwy Flat szare(para)</t>
  </si>
  <si>
    <t>StrongLumio koncovky k profilu Floor 12, šedá (pár)</t>
  </si>
  <si>
    <t>StrongLumio végzáró LED profilhoz Floor szürke (pár)</t>
  </si>
  <si>
    <t>StrongLumio końcówki do profilu Floor 12, szare (para)</t>
  </si>
  <si>
    <t>StrongLumio koncovky k profilu Groove 10 kulatá šedá (pár)</t>
  </si>
  <si>
    <t>StrongLumio koncovky k lište Groove 10 šedá guľatá (pár)</t>
  </si>
  <si>
    <t>StrongLumio végzárók Groove 10 profilhoz kerekített szürkr (pár)</t>
  </si>
  <si>
    <t>StrongLumio końcówki do listwy Groove 10 szare (para)</t>
  </si>
  <si>
    <t>StrongLumio koncovky k profilu HI8 stříbrná (pár)</t>
  </si>
  <si>
    <t>TM-koncovky k profilu HI8 strieborná (pár)</t>
  </si>
  <si>
    <t>StrongLumio végzáró LED profilhoz HI8 ezüst (pár)</t>
  </si>
  <si>
    <t>StrongLumio koncovky k profilu HI8, mléčná (pár)</t>
  </si>
  <si>
    <t>StrongLumio koncovky k profilu HI8, mliečna (pár)</t>
  </si>
  <si>
    <t>StrongLumio végzáró LED profilhoz HI8 tejfehér árnyalat (pár)</t>
  </si>
  <si>
    <t>StrongLumio końcówki do listwy HI8, mleczne (para)</t>
  </si>
  <si>
    <t>StrongLumio koncovky k profilu HI8, šedá (pár)</t>
  </si>
  <si>
    <t>StrongLumio végzáró LED profilhoz HI8 szürke (pár)</t>
  </si>
  <si>
    <t>StrongLumio końcówki do listwy HI8, szare (para)</t>
  </si>
  <si>
    <t>StrongLumio koncovky k profilu Maglyte-10 Angular černá (pár)</t>
  </si>
  <si>
    <t>StrongLumio koncovky k profilu Maglyte-10 Angular čierna (pár)</t>
  </si>
  <si>
    <t>StrongLumio końcówki do profilu Maglyte-10 Angular czarne (para)</t>
  </si>
  <si>
    <t>StrongLumio koncovky k profilu Maglyte-10 Angular šedá (pár)</t>
  </si>
  <si>
    <t>StrongLumio końcówki do profilu Maglyte-10 Angular szare (para)</t>
  </si>
  <si>
    <t>StrongLumio koncovky k profilu Maglyte-10 černá (pár)</t>
  </si>
  <si>
    <t>StrongLumio koncovky k profilu Maglyte-10 čierna (pár)</t>
  </si>
  <si>
    <t>StrongLumio końcówki do profilu Maglyte-10 czarne (para)</t>
  </si>
  <si>
    <t>StrongLumio koncovky k profilu Maglyte-10 šedá (pár)</t>
  </si>
  <si>
    <t>StrongLumio końcówki do profilu Maglyte-10 szare (para)</t>
  </si>
  <si>
    <t>StrongLumio koncovky k profilu Oval (pár)</t>
  </si>
  <si>
    <t>StrongLumio Koncovky k LED lište Oval (pár)</t>
  </si>
  <si>
    <t>StrongLumio végzáró LED profilhoz Oval (pár)</t>
  </si>
  <si>
    <t>TM-końcówki do LED listwy Owal (para)</t>
  </si>
  <si>
    <t>StrongLumio koncovky k profilu Slash8, mléčná (pár)</t>
  </si>
  <si>
    <t>StrongLumio koncovky k profilu Slash8, mliečna (pár)</t>
  </si>
  <si>
    <t>StrongLumio végzáró LED profilhoz Slash8 tejfehér árnyalat (pár)</t>
  </si>
  <si>
    <t>StrongLumio końcówki do listwy Slash8, mleczne (para)</t>
  </si>
  <si>
    <t>StrongLumio koncovky k profilu Slim 8, bílá (pár)</t>
  </si>
  <si>
    <t>StrongLumio koncovky k profilu Slim 8, biela (pár)</t>
  </si>
  <si>
    <t>StrongLumio végzázó LED profilhoz Slim fehér (pár)</t>
  </si>
  <si>
    <t>StrongLumio końcówki do listwy Slim 8, białe (para)</t>
  </si>
  <si>
    <t>StrongLumio koncovky k profilu Slim 8, černá (pár)</t>
  </si>
  <si>
    <t>StrongLumio Koncovky k profilu Slim 8, čierna (pár)</t>
  </si>
  <si>
    <t>StrongLumio végzázó LED profilhoz Slim  fekete (pár)</t>
  </si>
  <si>
    <t>StrongLumio końcówki do listwy Slim 8, czarne (para)</t>
  </si>
  <si>
    <t>StrongLumio koncovky k profilu Slim 8, šedá (pár)</t>
  </si>
  <si>
    <t>StrongLumio végzáró LED profilhoz Slim 8 szürke (pár)</t>
  </si>
  <si>
    <t>StrongLumio końcówki do profilu Slim 8, szare (para)</t>
  </si>
  <si>
    <t>StrongLumio koncovky k profilu Smart 10, bílá (pár)</t>
  </si>
  <si>
    <t>StrongLumio koncovky k profilu Smart 10, biela (pár)</t>
  </si>
  <si>
    <t>StrongLumio végzáró LED profilhoz Smart 10 fehér (pár)</t>
  </si>
  <si>
    <t>StrongLumio końcówki do profilu Smart 10, białe (para)</t>
  </si>
  <si>
    <t>StrongLumio koncovky k profilu Smart 10, černá (pár)</t>
  </si>
  <si>
    <t>StrongLumio koncovky k profilu Smart 10, čierna (pár)</t>
  </si>
  <si>
    <t>StrongLumio végzáró LED profilhoz Smart 10 fekete (pár)</t>
  </si>
  <si>
    <t>StrongLumio końcówki do listwy Smart 10, czarne (para)</t>
  </si>
  <si>
    <t>StrongLumio koncovky k profilu Smart 10, šedá (pár)</t>
  </si>
  <si>
    <t>StrongLumio végzáró LED profilhoz Smart 10 szürke (pár)</t>
  </si>
  <si>
    <t>StrongLumio końcówki do profilu Smart 10, szary (para)</t>
  </si>
  <si>
    <t>StrongLumio koncovky k profilu Smart-In 10, šedá (pár)</t>
  </si>
  <si>
    <t>StrongLumio végzáró LED profilhoz Smart-In 10 szürke (pár)</t>
  </si>
  <si>
    <t>StrongLumio końcówki do listwy Smart-In 10, szare (para)</t>
  </si>
  <si>
    <t>StrongLumio koncovky k profilu Smart-In 16 bílá (pár)</t>
  </si>
  <si>
    <t>TM-koncovky k profilu Smart-In 16 biela (pár)</t>
  </si>
  <si>
    <t>StrongLumio végzáró LED profilhoz Smart-In 16 fehér (pár)</t>
  </si>
  <si>
    <t>StrongLumio końcówki do profilu Smart-In 16 biały (para)</t>
  </si>
  <si>
    <t>StrongLumio koncovky k profilu Smart-In 16 šedá (pár)</t>
  </si>
  <si>
    <t>StrongLumio végzáró LED profilhoz Smart-In 16 szürke (pár)</t>
  </si>
  <si>
    <t>StrongLumio końcówki do profilu Smart-In 16 szary (para)</t>
  </si>
  <si>
    <t>StrongLumio koncovky k profilu Uni šedá rovná (pár)</t>
  </si>
  <si>
    <t>StrongLumio Koncovky k lište Uni šedá rovná (pár)</t>
  </si>
  <si>
    <t>StrongLumio végzáró LED profilhoz Uni szürke egyenes (pár)</t>
  </si>
  <si>
    <t>StrongLumio końcówki do listwy Uni szare (para)</t>
  </si>
  <si>
    <t>StrongLumio koncovky k profilu Wide 24, šedá (pár)</t>
  </si>
  <si>
    <t>StrongLumio végzáró LED profilhoz Wide 24 szürke (pár)</t>
  </si>
  <si>
    <t>StrongLumio końcówki do listwy Wide 24, szare (para)</t>
  </si>
  <si>
    <t>StrongLumio koncovky s dírou k profilu Slim 8 šedá (pár)</t>
  </si>
  <si>
    <t>StrongLumio koncovky s dierou k profilu Slim 8 šedá (pár)</t>
  </si>
  <si>
    <t>StrongLumio zaślepki z otworem na profil Slim 8 szare (para)</t>
  </si>
  <si>
    <t>StrongLumio koupelnové LED světlo 600mm chrom</t>
  </si>
  <si>
    <t>StrongLumio kúpelňové LED svetlo  600mm chróm</t>
  </si>
  <si>
    <t>StrongLumio fürdőszoba LED fény 600mm krom</t>
  </si>
  <si>
    <t>StrongLumio koupelnové LED světlo Balneum, 500mm 7,5W IP44 230V</t>
  </si>
  <si>
    <t>StrongLumio kúpeľňové LED svetlo Balneum, 500mm 7,5W IP44 230V</t>
  </si>
  <si>
    <t>STRONG fürdőszobai LED fény Balneum 500mm 7,5W IP44 230V</t>
  </si>
  <si>
    <t>StrongLumio oświetlenie łazienkowe LED Balneum, 500mm 7,5W IP44 230V</t>
  </si>
  <si>
    <t>StrongLumio koupelnové LED světlo Caracalla, 300mm 5,5W IP44 230V</t>
  </si>
  <si>
    <t>StrongLumio kúpeľňové LED svetlo Caracalla, 300mm 5,5W IP44 230V</t>
  </si>
  <si>
    <t>STRONG fürdőszobai LED fény Caracalla 300mm 5,5W IP44 230V</t>
  </si>
  <si>
    <t>StrongLumio oświetlenie łazienkowe LED Caracalla, 300mm 5,5W IP44 230V</t>
  </si>
  <si>
    <t>StrongLumio koupelnové LED světlo kulaté 600mm černá</t>
  </si>
  <si>
    <t>StrongLumio kúpelňové LED svetlo okrúhle 600mm čierna</t>
  </si>
  <si>
    <t>StrongLumio fürdőszoba LED fény gömbölyű  600mm fekete</t>
  </si>
  <si>
    <t>StrongLumio kovový držák pro LED pásek neon 4x10 mm</t>
  </si>
  <si>
    <t>StrongLumio kovový držiak pre LED pásik neon 4x10 mm</t>
  </si>
  <si>
    <t>StrongLumio kovový držák pro LED silikonový profil neon 8x16 mm</t>
  </si>
  <si>
    <t>StrongLumio kovový úchyt pre LED silikónový profil neon 8x16mm</t>
  </si>
  <si>
    <t>StrongLumio metalowy uchwyt do silikonowego profilu LED neon 8x16 mm</t>
  </si>
  <si>
    <t>StrongLumio kovový držák pro neon 6x12, 30mm</t>
  </si>
  <si>
    <t>StrongLumio kovový držiak pre neón 6x12, 30mm</t>
  </si>
  <si>
    <t>StrongLumio fém tartó neonhoz 6x12, 30mm</t>
  </si>
  <si>
    <t>StrongLumio krycí k LED profilu Pen8 naklapávací průsvitná 4100mm</t>
  </si>
  <si>
    <t>StrongLumio krycia lišta k LED profilu Pen8 naklápacia priehľadná 4100mm</t>
  </si>
  <si>
    <t>TM-takaró profil  LED profilhoz Pen8 rápattintható transzparens 4100mm</t>
  </si>
  <si>
    <t>StrongLumio listwa maskująca do LED profilu Pen8 wciskana przeźroczysta 4100mm</t>
  </si>
  <si>
    <t>StrongLumio krycí lišta A k profilu Slim 8/Smart 10 násuvná transparentní 2000mm</t>
  </si>
  <si>
    <t>StrongLumio krycia lišta A k profilu Slim 8/Smart 10 nasúv. Transparent., 2000mm</t>
  </si>
  <si>
    <t>StrongLumio takaróprofil Slim/Smart LED profilhoz pattintós/befűzős átlátszó 2m</t>
  </si>
  <si>
    <t>StrongLumio listwa maskująca do profilu Slim/Smart nasuwana/przeźrocz. 2000 mm</t>
  </si>
  <si>
    <t>StrongLumio krycí lišta A k profilu Slim 8/Smart 10 násuvná, 1000mm mléčná</t>
  </si>
  <si>
    <t>StrongLumio krycia lišta A k profilu Slim 8/Smart 10 násuvná, 1000mm, mliečna</t>
  </si>
  <si>
    <t>StrongLumio takaróprofil  Slim/Smart10 LED profilhoz tejfehér 1m</t>
  </si>
  <si>
    <t>StrongLumio listwa maskująca A do profilu Slim/Smart10 nasuwana, 1000mm mleczna</t>
  </si>
  <si>
    <t>StrongLumio krycí lišta A k profilu Slim 8/Smart 10 násuvná, 1000mm průsvitná</t>
  </si>
  <si>
    <t>StrongLumio krycia lišta A k profilu Slim 8/Smart 10 násuvná, 1000mm, priesvitná</t>
  </si>
  <si>
    <t>StrongLumio takaróprofil Slim/Smart LED profilhoz pattintós/befűzős átlátszó 1m</t>
  </si>
  <si>
    <t>StrongLumio listwa A do profilu Slim 8/Smart10 nasuwana, 1000mm przezroczysta</t>
  </si>
  <si>
    <t>StrongLumio krycí lišta A k profilu Slim 8/Smart 10 násuvná, 2000mm mléčná</t>
  </si>
  <si>
    <t>StrongLumio krycia lišta A k profilu Slim 8/Smart 10 násuvná, 2000mm, mliečna</t>
  </si>
  <si>
    <t>StrongLumio takaróprofil  Slim/Smart10 LED profilhoz tejfehér 2m</t>
  </si>
  <si>
    <t>StrongLumio listwa maskująca A do profilu Slim/Smart 10 nasuwana, 2000mm mleczna</t>
  </si>
  <si>
    <t>StrongLumio krycí lišta A k profilu Slim 8/Smart 10 násuvná, 2000mm průsvitná</t>
  </si>
  <si>
    <t>StrongLumio krycia lišta A k profilu Slim 8/Smart 10 násuvná, 2000mm, priesvitná</t>
  </si>
  <si>
    <t>StrongLumio listwa A do profilu Slim 8/Smart10 nasuwana, 2000mm przezroczysta</t>
  </si>
  <si>
    <t>StrongLumio krycí lišta A k profilu Slim 8/Smart 10 násuvná, 3000mm průsvitná</t>
  </si>
  <si>
    <t>StrongLumio krycia lišta A k profilu Slim 8/Smart 10 násuvná, 3000mm priesvitná</t>
  </si>
  <si>
    <t>StrongLumio takaróprofil  Slim/Smart10 LED profilhoz átlátszó 3m</t>
  </si>
  <si>
    <t>StrongLumio list.mask A do Slim 8/Smart 10 nasuwana 3000mm przezroczysta</t>
  </si>
  <si>
    <t>StrongLumio krycí lišta B k LED profilům násuvná transparentní 2000mm</t>
  </si>
  <si>
    <t>StrongLumio krycia lišta B k LED profilom násuvná transparentná 2000mm</t>
  </si>
  <si>
    <t>StrongLumio B becsúsztatható takaróprofil átlátszó 2m</t>
  </si>
  <si>
    <t>StrongLumio listwa maskująca do LED profili, nasuwana, przeźroczysta 2000 mm</t>
  </si>
  <si>
    <t>StrongLumio krycí lišta B k LED profilům násuvná, 1000mm mléčná</t>
  </si>
  <si>
    <t>StrongLumio krycia lišta B k LED profilom násuvná, 1000mm, mliečna</t>
  </si>
  <si>
    <t>StrongLumio becsúsztatható takaróprofil tejfehér 1m</t>
  </si>
  <si>
    <t>StrongLumio listwa maskująca B do LED profili nasuwana, 1000mm mleczna</t>
  </si>
  <si>
    <t>StrongLumio krycí lišta B k LED profilům násuvná, 1000mm průsvitná</t>
  </si>
  <si>
    <t>StrongLumio krycia lišta B k LED profilom násuvná, 1000mm, priesvitná</t>
  </si>
  <si>
    <t>StrongLumio becsúsztatható takaróprofil átlátszó 1m</t>
  </si>
  <si>
    <t>StrongLumio listwa maskująca B do LED profili nasuwana, 1000mm przezroczysta</t>
  </si>
  <si>
    <t>StrongLumio krycí lišta B k LED profilům násuvná, 2000mm mléčná</t>
  </si>
  <si>
    <t>StrongLumio krycia lišta B k LED profilom násuvná, 2000mm, mliečna</t>
  </si>
  <si>
    <t>StrongLumio becsúsztatható takaróprofil tejfehér 2m</t>
  </si>
  <si>
    <t>StrongLumio listwa maskująca B do LED profili nasuwana, 2000mm mleczna</t>
  </si>
  <si>
    <t>StrongLumio krycí lišta B k LED profilům násuvná, 2000mm průsvitná</t>
  </si>
  <si>
    <t>StrongLumio krycia lišta B k LED profilom násuvná, 2000mm, priesvitná</t>
  </si>
  <si>
    <t>StrongLumio becsúsztatható takaróprofil átlátszó 2m</t>
  </si>
  <si>
    <t>StrongLumio listwa maskująca B do LED profili nasuwana, 2000mm przezroczysta</t>
  </si>
  <si>
    <t>StrongLumio krycí lišta C k LED profilům čočka naklapávací, 2000mm transparentní</t>
  </si>
  <si>
    <t>StrongLumio krycia lišta C k LED profilom čočka naklap., 2000mm, transparentná</t>
  </si>
  <si>
    <t>StrongLumio takaróprofil lencse átlátszó 2m</t>
  </si>
  <si>
    <t>StrongLumio list.mask C do LED profili zaoblona wciskana, 2000mm transparentna</t>
  </si>
  <si>
    <t>StrongLumio krycí lišta C k LED profilům naklapávací 1000mm černá</t>
  </si>
  <si>
    <t>StrongLumio krycia lišta C k LED profilom naklapávacia, 1000mm čierna</t>
  </si>
  <si>
    <t>StrongLumio takaróprofil fekete 1m</t>
  </si>
  <si>
    <t>StrongLumio Listwa masująca C do profili LED nasuwana czarna 1000mm</t>
  </si>
  <si>
    <t>StrongLumio krycí lišta C k LED profilům naklapávací 2000mm černá</t>
  </si>
  <si>
    <t>StrongLumio krycia lišta C k LED profilom naklapávacia, 2000mm čierna</t>
  </si>
  <si>
    <t>StrongLumio takaróprofil fekete 2m</t>
  </si>
  <si>
    <t>StrongLumio Listwa masująca C do profili LED wciskana czarna 2000mm</t>
  </si>
  <si>
    <t>StrongLumio krycí lišta C k LED profilům naklapávací 3000mm černá</t>
  </si>
  <si>
    <t>StrongLumio krycia lišta C k LED profilom naklapávacia, 3000mm čierna</t>
  </si>
  <si>
    <t>StrongLumio takaróprofil fekete 3m</t>
  </si>
  <si>
    <t>StrongLumio Listwa masująca C do profili LED nasuwana czarna 3000mm</t>
  </si>
  <si>
    <t>StrongLumio krycí lišta C k LED profilům naklapávací 4100mm černá</t>
  </si>
  <si>
    <t>StrongLumio takaróprofil fekete 4,1m</t>
  </si>
  <si>
    <t>StrongLumio Listwa masująca C do profili LED nasuwana czarna 4100mm</t>
  </si>
  <si>
    <t>StrongLumio krycí lišta C k LED profilům naklapávací, 1000mm mléčná</t>
  </si>
  <si>
    <t>StrongLumio takaróprofil tejfehér 1m</t>
  </si>
  <si>
    <t>StrongLumio listwa maskująca C do LED profili wciskana, 1000mm mleczna</t>
  </si>
  <si>
    <t>StrongLumio krycí lišta C k LED profilům naklapávací, 1000mm průsvitná</t>
  </si>
  <si>
    <t>StrongLumio krycia lišta C k LED profilom naklapavácia, 1000 mm, priehľadná</t>
  </si>
  <si>
    <t>StrongLumio takaróprofil átlátszó 1m</t>
  </si>
  <si>
    <t>StrongLumio listwa maskująca C do LED profili wciskana, 1000mm przezroczysta</t>
  </si>
  <si>
    <t>StrongLumio krycí lišta C k LED profilům naklapávací, 2000mm mléčná</t>
  </si>
  <si>
    <t>StrongLumio krycia lišta C k LED profilom naklapavácia, 2000mm, mliečna</t>
  </si>
  <si>
    <t>StrongLumio takaróprofil tejfehér 2m</t>
  </si>
  <si>
    <t>StrongLumio listwa maskująca C do LED profili wciskana, 2000mm mleczna</t>
  </si>
  <si>
    <t>StrongLumio krycí lišta C k LED profilům naklapávací, 2000mm průsvitná</t>
  </si>
  <si>
    <t>StrongLumio krycia lišta C k LED profilom naklapavácia, 2000 mm, priehľadná</t>
  </si>
  <si>
    <t>StrongLumio takaróprofil átlátszó 2m</t>
  </si>
  <si>
    <t>StrongLumio listwa maskująca C do LED profili wciskana, 2000mm przezroczysta</t>
  </si>
  <si>
    <t>StrongLumio krycí lišta C k LED profilům naklapávací, 20m mléčná</t>
  </si>
  <si>
    <t>StrongLumio krycia lišta C k LED profilom naklápavacia, 20m mliečna</t>
  </si>
  <si>
    <t>TM-takaró profil LED profilokhoz rápattintható tejfehér szín 20m</t>
  </si>
  <si>
    <t>StrongLumio listwa maskująca do LED profili wciskana, 20m mleczna</t>
  </si>
  <si>
    <t>StrongLumio krycí lišta C k LED profilům naklapávací, 3000mm mléčná</t>
  </si>
  <si>
    <t>StrongLumio krycia lišta C k LED profilom naklapavácia, 3000mm, mliečna</t>
  </si>
  <si>
    <t>StrongLumio takaróprofil tejfehér 3m</t>
  </si>
  <si>
    <t>StrongLumio listwa maskująca C do LED profili wciskana, 3000mm mleczna</t>
  </si>
  <si>
    <t>StrongLumio krycí lišta C k LED profilům naklapávací, 3000mm průsvitná</t>
  </si>
  <si>
    <t>StrongLumio krycia lišta C k LED profilom naklapavácia, 3000mm, priesvitná</t>
  </si>
  <si>
    <t>StrongLumio takaróprofil átlátszó 3m</t>
  </si>
  <si>
    <t>StrongLumio listwa maskująca C do LED profili wciskana, 3000mm przezroczysta</t>
  </si>
  <si>
    <t>StrongLumio krycí lišta C k LED profilům naklapávací, 4100mm mléčná</t>
  </si>
  <si>
    <t>StrongLumio takaróprofil tejfehér 4,1m</t>
  </si>
  <si>
    <t>StrongLumio listwa maskująca C do LED profili wciskana, 4100mm mleczna</t>
  </si>
  <si>
    <t>StrongLumio krycí lišta C k LED profilům naklapávací, 4100mm průsvitná</t>
  </si>
  <si>
    <t>StrongLumio takaróprofil átlátszó 4,1m</t>
  </si>
  <si>
    <t>StrongLumio listwa maskująca C do LED profili wciskana, 4100mm przezroczysta</t>
  </si>
  <si>
    <t>StrongLumio krycí lišta C1 k profilu HI 8 naklapávací, 2000mm mléčná</t>
  </si>
  <si>
    <t>StrongLumio krycia lišta C1 k profilu HI8 naklapávacia, 2000mm mliečna</t>
  </si>
  <si>
    <t>StrongLumio takaróprofil HI8 LED profilhoz rápattintós tejfehér 2m</t>
  </si>
  <si>
    <t>StrongLumio listwa maskująca C1, do profilu HI8 wciskana, 2000mm mleczna</t>
  </si>
  <si>
    <t>StrongLumio krycí lišta C1 k profilu HI 8 naklapávací, 3000mm mléčná</t>
  </si>
  <si>
    <t>StrongLumio krycia lišta C1 k profilu HI8 naklapávacia, 3000mm mliečna</t>
  </si>
  <si>
    <t>StrongLumio takaróprofil HI8 LED profilhoz rápattintós tejfehér 3m</t>
  </si>
  <si>
    <t>StrongLumio listwa maskująca C1, do profilu HI8 wciskana, 3000mm mleczna</t>
  </si>
  <si>
    <t>StrongLumio krycí lišta C1 k profilu HI 8 naklapávací, 4100mm mléčná</t>
  </si>
  <si>
    <t>StrongLumio krycia lišta C1 k profilu HI8 naklapávacia, 4100mm mliečna</t>
  </si>
  <si>
    <t>StrongLumio takaróprofil HI8 LED profilhoz rápattintós tejfehér 4,1m</t>
  </si>
  <si>
    <t>StrongLumio listwa maskująca C1, do profilu HI8 wciskana, 4100mm mleczna</t>
  </si>
  <si>
    <t>StrongLumio krycí lišta C2 k profilu Slim 8/Smart 10 naklapávací 3000mm mléčná</t>
  </si>
  <si>
    <t>StrongLumio krycia lišta C2 k profilu Slim 8/Smart 10 naklap., 3000mm mliečna</t>
  </si>
  <si>
    <t>StrongLumio takaróprofil  Slim/Smart10/Smart-In10 LED profilhoz tejfehér 3m</t>
  </si>
  <si>
    <t>StrongLumio listwa maskująca C2 do profilu Slim8/Smart10 wciskana 3000mm mleczna</t>
  </si>
  <si>
    <t>StrongLumio krycí lišta C2 k profilu Slim 8/Smart 10 naklapávací černá 2000mm</t>
  </si>
  <si>
    <t>StrongLumio krycia lišta C2 k profilu Slim 8/Smart 10 naklapávacia čierna 2000mm</t>
  </si>
  <si>
    <t>TM-takaró profil Slim/Smart10/Smart-In10 profilhoz rápattintható fekete 2000mm</t>
  </si>
  <si>
    <t>StrongLumio listwa maskująca C2 profilu Slim/Smart10/Smart 10 czarna 2m</t>
  </si>
  <si>
    <t>StrongLumio krycí lišta C2 k profilu Slim 8/Smart10 naklapávací 2000mm mléčná</t>
  </si>
  <si>
    <t>StrongLumio krycia lišta C2 k profilu Slim 8/Smart 10 naklap., 2000mm mliečna</t>
  </si>
  <si>
    <t>TM-takaró profil Slim/Smart10/Smart-In10 profilhoz rápattintható tejfehér 2000mm</t>
  </si>
  <si>
    <t>StrongLumio listwa maskująca C2 do profilu Slim/Smart10 wciskana 2000mm mleczna</t>
  </si>
  <si>
    <t>StrongLumio krycí lišta C2 k profilu Slim 8/Smart10 naklapávací 2000mm průsvitná</t>
  </si>
  <si>
    <t>StrongLumio krycia lišta C2 k profilu Slim 8/Smart10 naklap. 2000mm priesvitná</t>
  </si>
  <si>
    <t>StrongLumio listwa maskująca C2 profilu Slim/Smart10 2000mm przeźroczysta</t>
  </si>
  <si>
    <t>StrongLumio krycí lišta C2 k profilu Slim 8/Smart10 naklapávací 3000mm průsvitná</t>
  </si>
  <si>
    <t>StrongLumio krycia lišta C2 k profilu Slim 8/Smart10 naklap. 3000mm priesvitná</t>
  </si>
  <si>
    <t>StrongLumio listwa maskująca C2 profilu Slim/Smart10 3000mm przezroczysta</t>
  </si>
  <si>
    <t>StrongLumio krycí lišta C3 k LED profilu Smart-In 16 naklapávací mléčná 3000mm</t>
  </si>
  <si>
    <t>StrongLumio krycia lišta C3 k LED prof. Smart-In16 naklapávacia mliečna 3000mm</t>
  </si>
  <si>
    <t>TM-takaró profil LED profilokhoz Smart-In16 rápattintható tejfehér szín 3000mm</t>
  </si>
  <si>
    <t>StrongLumio listwa mask. C3 do LED profilu Smart-In16 wciskana mleczna 3000mm</t>
  </si>
  <si>
    <t>StrongLumio krycí lišta D k profilu Uni/Arc naklapávací půlkulatá, 2000mm mléčná</t>
  </si>
  <si>
    <t>StrongLumio krycia lišta D k profilu Uni/Arc naklap. pologuľatá, 2000mm mliečna</t>
  </si>
  <si>
    <t>StrongLumio takaróprofil  Uni/Arc LED profilhoz félkör tejfehér 2m</t>
  </si>
  <si>
    <t>StrongLumio list.mask D do profilu Uni/Arc wciskana półokragła, 2000mm mleczna</t>
  </si>
  <si>
    <t>StrongLumio krycí lišta E k profilu Cabi naklapávací/násuvná, 2000mm mléčná</t>
  </si>
  <si>
    <t>StrongLumio krycia lišta E k profilu Cabi naklápavacia/výsuvná mliečna 2000mm</t>
  </si>
  <si>
    <t>StrongLumio takaróprofil Cabi LED profilhoz pattintós/befűzős tejfehér 2m</t>
  </si>
  <si>
    <t>StrongLumio listwa maskująca E do profilu Cabi nasuwana, 2000mm mleczna</t>
  </si>
  <si>
    <t>StrongLumio krycí lišta E k profilu Cabi naklapávací/násuvná, 2000mm průsvitná</t>
  </si>
  <si>
    <t>StrongLumio krycia lišta E k profilu Cabi naklap./násuvná, 2000mm priesvitná</t>
  </si>
  <si>
    <t>StrongLumio takaróprofil Cabi LED profilhoz pattintós/befűzős átlátszó 2m</t>
  </si>
  <si>
    <t>StrongLumio listwa maskująca E do profilu Cabi nasuwana, 2000mm przezroczysta</t>
  </si>
  <si>
    <t>StrongLumio krycí lišta E k profilu Cabi naklapávací/výsuvná průsvitná 3000mm</t>
  </si>
  <si>
    <t>TM-krycia lišta k profilu Cabi naklápavacia/výsuvná priesvitná 3000mm</t>
  </si>
  <si>
    <t>StrongLumio takaróprofil Cabi LED profilhoz pattintós/befűzős átlátszó 3m</t>
  </si>
  <si>
    <t>StrongLumio listwa maskująca do profilu Cabi nasuwana przeźroczysta 3000mm</t>
  </si>
  <si>
    <t>StrongLumio krycí lišta F k LED profilům 14 naklapávací 1000mm černá</t>
  </si>
  <si>
    <t>StrongLumio-krycia lišta k led profilom 14 naklapavacia  1000mm čierna</t>
  </si>
  <si>
    <t>StrongLumio F takaróléc LED profilokhoz 14 rápattintható  fekete 1000mm 1000mm</t>
  </si>
  <si>
    <t>StrongLumio krycí lišta F k LED profilům 14 naklapávací 1000mm mléčná</t>
  </si>
  <si>
    <t>StrongLumio-krycia lišta k led profilom 14 naklapávacia  1000mm mliečna</t>
  </si>
  <si>
    <t>TM-takaró profil LED profilokhoz 14 rápattintható tejfehér szín 1000mm</t>
  </si>
  <si>
    <t>StrongLumio krycí lišta F k LED profilům 14 naklapávací 1000mm průsvitná</t>
  </si>
  <si>
    <t>StrongLumio-krycia lišta k led profilom 14 naklapavacia  1000mm, priesvitná</t>
  </si>
  <si>
    <t>TM-takaró léc LED profilhoz 14 rápattintható  átlátszó 1000mm</t>
  </si>
  <si>
    <t>StrongLumio krycí lišta F k LED profilům 14 naklapávací 2000mm černá</t>
  </si>
  <si>
    <t>StrongLumio krycia lišta F k LED profilom 14 naklápavacia čierná 2000mm</t>
  </si>
  <si>
    <t>TM-burkolati szalag LED profilokhoz 14 fekete 2000mm</t>
  </si>
  <si>
    <t>StrongLumio listwa maskująca F do LED profili 14 wciskana 2000mm czarna</t>
  </si>
  <si>
    <t>StrongLumio krycí lišta F k LED profilům 14 naklapávací 2000mm mléčná</t>
  </si>
  <si>
    <t>StrongLumio krycia lišta F k LED profilom 14 naklapávacia, 2000mm mliečna</t>
  </si>
  <si>
    <t>StrongLumio takaróprofil 14 mm tejfehér 2m</t>
  </si>
  <si>
    <t>StrongLumio listwa masująca F do profili LED 14 wciskana 2000mm mleczna</t>
  </si>
  <si>
    <t>StrongLumio krycí lišta F k LED profilům 14 naklapávací 2000mm průsvitná</t>
  </si>
  <si>
    <t>StrongLumio krycia lišta F k LED profilom 14 naklapávacia, 2000mm priesvitná</t>
  </si>
  <si>
    <t>StrongLumio takaróprofil 14 mm átlátszó 2m</t>
  </si>
  <si>
    <t>StrongLumio listwa masująca F do profili LED 14 wciskana 2000mm przezroczysta</t>
  </si>
  <si>
    <t>StrongLumio krycí lišta F k LED profilům 14 naklapávací 3000mm černá</t>
  </si>
  <si>
    <t>StrongLumio krycia lišta F k LED profilom 14 naklápavacia čierná 3000mm</t>
  </si>
  <si>
    <t>TM-burkolati szalag LED profilokhoz 14 fekete 3000mm</t>
  </si>
  <si>
    <t>StrongLumio listwa maskująca F do LED profili 14 wciskana 3000mm czarna</t>
  </si>
  <si>
    <t>StrongLumio krycí lišta F k LED profilům 14 naklapávací 3000mm mléčná</t>
  </si>
  <si>
    <t>StrongLumio krycia lišta F k LED profilom 14 naklápavacia mliečna 3000mm</t>
  </si>
  <si>
    <t>StrongLumio takaróprofil 14 mm tejfehér 3m</t>
  </si>
  <si>
    <t>StrongLumio listwa maskująca F do LED profili 14 wciskana 3000mm mleczna</t>
  </si>
  <si>
    <t>StrongLumio krycí lišta F k LED profilům 14 naklapávací 3000mm průsvitná</t>
  </si>
  <si>
    <t>StrongLumio krycia lišta F k LED profilom 14 naklápavacia priesvitná 3000mm</t>
  </si>
  <si>
    <t>StrongLumio takaróprofil 14 mm átlátszó 3m</t>
  </si>
  <si>
    <t>StrongLumio listwa maskująca F do LED profili 14 wciskana 3000mm przezroczysta</t>
  </si>
  <si>
    <t>StrongLumio krycí lišta F k LED profilům 14 naklapávací černá 4100mm</t>
  </si>
  <si>
    <t>StrongLumio-krycia lišta k led profilom 14 naklapávacia čiarna 4100mm</t>
  </si>
  <si>
    <t>TM-takaró léc LED profilokhoz 14 rápattintható fekete 4100mm</t>
  </si>
  <si>
    <t>StrongLumio krycí lišta F k LED profilům 14 naklapávací mléčná 20m</t>
  </si>
  <si>
    <t>StrongLumio-krycia lišta k led profilom 14 naklapávacia mliečna.20m</t>
  </si>
  <si>
    <t>TM-takaró profil LED profilokhoz 14 rápattintható tejfehér szín 20m</t>
  </si>
  <si>
    <t>StrongLumio krycí lišta F k LED profilům 14 naklapávací mléčná 4100mm</t>
  </si>
  <si>
    <t>StrongLumio-krycia lišta k led profilom 14 naklapávacia 4100mm mliečna</t>
  </si>
  <si>
    <t>StrongLumio takaróprofil 14 mm tejfehér 4,1m</t>
  </si>
  <si>
    <t>StrongLumio krycí lišta F k LED profilům 14 naklapávací průsvitná 4100mm</t>
  </si>
  <si>
    <t>StrongLumio-krycia lišta k led profilom 14 naklapávacia priesvitná 4100mm</t>
  </si>
  <si>
    <t>StrongLumio -takaró léc F LED-profilokhoz 14 rápattintható átlátszó 4100mm</t>
  </si>
  <si>
    <t>StrongLumio krycí lišta G k profilu Wide 24 naklapávací/násuvná 1000mm mléčná</t>
  </si>
  <si>
    <t>StrongLumio krycia lišta G k profilu Wide 24 naklap./násuvná, 1000mm, mliečna</t>
  </si>
  <si>
    <t>StrongLumio takaróprofil  Wide 24 LED profilhoz tejfehér 1m</t>
  </si>
  <si>
    <t>StrongLumio list.mask G do profilu Wide 24 wciskana/nasuwana 1000mm mleczna</t>
  </si>
  <si>
    <t>StrongLumio krycí lišta G k profilu Wide 24 naklapávací/násuvná 1000mm průsvitná</t>
  </si>
  <si>
    <t>StrongLumio krycia lišta G k profilu Wide 24 naklap./násuvná 1000mm, priesvitná</t>
  </si>
  <si>
    <t>StrongLumio takaróprofil  Wide 24 LED profilhoz átlátszó 1m</t>
  </si>
  <si>
    <t>StrongLumio list.mask G do Wide 24 wciskana/nasuwana 1000mm przeźroczysta</t>
  </si>
  <si>
    <t>StrongLumio krycí lišta G k profilu Wide 24 naklapávací/násuvná 2000mm mléčná</t>
  </si>
  <si>
    <t>StrongLumio krycia lišta G k profilu Wide 24 naklap./násuvná, 2000mm, mliečna</t>
  </si>
  <si>
    <t>StrongLumio takaróprofil  Wide 24 LED profilhoz tejfehér 2m</t>
  </si>
  <si>
    <t>StrongLumio list.mask G do profilu Wide 24 wciskana/nasuwana 2000mm mleczna</t>
  </si>
  <si>
    <t>StrongLumio krycí lišta G k profilu Wide 24 naklapávací/násuvná 2000mm průsvitná</t>
  </si>
  <si>
    <t>StrongLumio krycia lišta G k profilu Wide 24 naklap./násuvná 2000mm, priesvitná</t>
  </si>
  <si>
    <t>StrongLumio takaróprofil  Wide 24 LED profilhoz átlátszó 2m</t>
  </si>
  <si>
    <t>StrongLumio list.mask G do Wide 24 wciskana/nasuwana 2000mm przeźroczysta</t>
  </si>
  <si>
    <t>StrongLumio krycí lišta H k profilu Flat násuvná, 1000mm mléčná</t>
  </si>
  <si>
    <t>StrongLumio krycia lišta H k profilu Flat násuvná, 1000mm, mliečna</t>
  </si>
  <si>
    <t>StrongLumio takaróprofil Flat LED profilhoz befűzős tejfehér 1m</t>
  </si>
  <si>
    <t>StrongLumio listwa maskująca H do profilu Flat nasuwana, 1000mm mleczna</t>
  </si>
  <si>
    <t>StrongLumio krycí lišta H k profilu Flat násuvná, 1000mm transparentní</t>
  </si>
  <si>
    <t>StrongLumio krycia lišta H k profilu Flat násuvná, 1000mm, transparentná</t>
  </si>
  <si>
    <t>StrongLumio takaróprofil Flat LED profilhoz befűzős átlátszó 1m</t>
  </si>
  <si>
    <t>StrongLumio listwa maskująca H do profilu Flat nasuwana, 1000mm przezroczysta</t>
  </si>
  <si>
    <t>StrongLumio krycí lišta H k profilu Flat násuvná, 2000mm mléčná</t>
  </si>
  <si>
    <t>StrongLumio krycia lišta H k profilu Flat násuvná, 2000mm, mliečna</t>
  </si>
  <si>
    <t>StrongLumio takaróprofil Flat LED profilhoz befűzős tejfehér 2m</t>
  </si>
  <si>
    <t>StrongLumio listwa maskująca H do profilu Flat nasuwana, 2000mm mleczna</t>
  </si>
  <si>
    <t>StrongLumio krycí lišta H k profilu Flat násuvná, 2000mm transparentní</t>
  </si>
  <si>
    <t>StrongLumio krycia lišta H k profilu Flat násuvná, 2000mm, transparentná</t>
  </si>
  <si>
    <t>StrongLumio takaróprofil Flat LED profilhoz befűzős átlátszó 2m</t>
  </si>
  <si>
    <t>StrongLumio listwa maskująca H do profilu Flat nasuwana, 2000mm przezroczysta</t>
  </si>
  <si>
    <t>StrongLumio krycí lišta hranatá Belcore, 2m mléčná</t>
  </si>
  <si>
    <t>StrongLumio krycia lišta hranatá Belcore, 2m mliečna</t>
  </si>
  <si>
    <t>STRONG takarósapka szögletes Belcore 2m tejfehér</t>
  </si>
  <si>
    <t>StrongLumio klosz kwadratowy Belcore, 2000mm mleczny</t>
  </si>
  <si>
    <t>StrongLumio krycí lišta I k profilu Pen8 naklapávací mléčná 2000mm</t>
  </si>
  <si>
    <t>StrongLumio krycia lišta I k profilu Pen8 naklápavacia mliečna 2000mm</t>
  </si>
  <si>
    <t>StrongLumio takaróprofil Pen8 LED profilhoz rápattintós átlátszó 2m</t>
  </si>
  <si>
    <t>StrongLumio listwa maskująca profilu Pen8 wciskana mleczna 2m</t>
  </si>
  <si>
    <t>StrongLumio krycí lišta I k profilu Pen8 naklapávací, 1000mm průsvitná</t>
  </si>
  <si>
    <t>StrongLumio krycia lišta I k profilu Pen8 naklapavácia, 1000mm priesvitná</t>
  </si>
  <si>
    <t>StrongLumio takaróprofil Pen8 LED profilhoz rápattintós átlátszó 1m</t>
  </si>
  <si>
    <t>StrongLumio listwa maskująca do profilu Pen8 wciskana, 1000mm przezroczysta</t>
  </si>
  <si>
    <t>StrongLumio krycí lišta I k profilu Pen8 naklapávací, 2000mm průsvitná</t>
  </si>
  <si>
    <t>StrongLumio krycia lišta I k profilu Pen8 naklapavácia, 2000mm priesvitná</t>
  </si>
  <si>
    <t>StrongLumio  listwa maskująca do profilu Pen8 wciskana, 2000mm przezroczysta</t>
  </si>
  <si>
    <t>StrongLumio krycí lišta J Begtin/Begton 12 naklapávací/násuvná, 2000mm mléčná</t>
  </si>
  <si>
    <t>StrongLumio krycia lišta J Begtin/Begton 12 naklapavácia/násuvná, 2000mm mliečna</t>
  </si>
  <si>
    <t>StrongLumio takaróprofil Begtin/Begton rápattintható/kihúzható tejfehér 2m</t>
  </si>
  <si>
    <t>StrongLumio listwa maskująca Begtin/Begton 12 wciskana/nasuwana, 2000mm mleczna</t>
  </si>
  <si>
    <t>StrongLumio krycí lišta J Begtin/Begton 12 naklapávací/násuvná, 2000mm průsvitná</t>
  </si>
  <si>
    <t>StrongLumio krycia lišta J Begtin/Begton 12, naklap./násuvná, 2000mm priesvitná</t>
  </si>
  <si>
    <t>StrongLumio takaróprofil Begtin/Begton 12 rápattintható/kihúzható átlátszó 2m</t>
  </si>
  <si>
    <t>StrongLumio list.mask Begtin/Begton 12 wciskana/nasuwana, 2000mm przezroczysta</t>
  </si>
  <si>
    <t>StrongLumio krycí lišta J Begtin/Begton 12 naklapávací/násuvná, 3000mm průsvitná</t>
  </si>
  <si>
    <t>StrongLumio krycia lišta J Begtin/Begton 12, naklap./násuvná, 3000mm priesvitná</t>
  </si>
  <si>
    <t>StrongLumio takaróprofil Begtin/Begton 12 felhajtható/kihúzható átlátszó 3m</t>
  </si>
  <si>
    <t>StrongLumio  list.mask Begtin/Begton 12 wciskana/nasuwana, 3000mm przezroczysta</t>
  </si>
  <si>
    <t>StrongLumio krycí lišta K k profilu Floor naklapávací mléčná 3000mm</t>
  </si>
  <si>
    <t>StrongLumio krycia lišta K k profilu Floor naklapávacia mliečna 3000mm</t>
  </si>
  <si>
    <t>StrongLumio takaróprofil Floor LED profilhoz rápattintós tejfehér 3m</t>
  </si>
  <si>
    <t>StrongLumio listwa maskująca K do profilu Floor, zatrzaskowa, mleczna, 3000 mm</t>
  </si>
  <si>
    <t>StrongLumio krycí lišta K k profilu Floor naklapávací mléčná 4100mm</t>
  </si>
  <si>
    <t>StrongLumio krycia lišta K k profilu Floor naklapávacia mliečna 4100mm</t>
  </si>
  <si>
    <t>StrongLumio takaróprofil Floor LED profilhoz rápattintós tejfehér 4100m</t>
  </si>
  <si>
    <t>StrongLumio klosz/listwa maskująca K do profilu Floor zatrzaskowa mleczna 4100mm</t>
  </si>
  <si>
    <t>StrongLumio krycí lišta K k profilu Floor naklapávací, 2000mm mléčná</t>
  </si>
  <si>
    <t>StrongLumio krycia lišta K k profilu Floor naklapávacia mliečna 2000mm</t>
  </si>
  <si>
    <t>StrongLumio takaróprofil Floor LED profilhoz rápattintós tejfehér 2m</t>
  </si>
  <si>
    <t>StrongLumio listwa maskująca K do profilu Floor wciskana, 2000mm mleczna</t>
  </si>
  <si>
    <t>StrongLumio krycí lišta k LED profilům Angular naklapávací, 2030mm černá</t>
  </si>
  <si>
    <t>StrongLumio krycia lišta k LED profilom Angular naklapávacia, 2030mm, čierna</t>
  </si>
  <si>
    <t>StrongLumio takaróprofil Angular fekete 2,03m</t>
  </si>
  <si>
    <t>StrongLumio klosz do LED profili Angular wciskany, 2030mm czarna</t>
  </si>
  <si>
    <t>StrongLumio krycí lišta k LED profilům Angular naklapávací, 2030mm mléčná</t>
  </si>
  <si>
    <t>StrongLumio krycia lišta k LED profilom Angular naklapávacia, 2030mm, mliečna</t>
  </si>
  <si>
    <t>StrongLumio takaróprofil Angular tejfehér 2,03m</t>
  </si>
  <si>
    <t>StrongLumio klosz do LED profili Angular wciskany, 2030mm mleczna</t>
  </si>
  <si>
    <t>StrongLumio krycí lišta k LED profilům Angular naklapávací, 3030mm černá</t>
  </si>
  <si>
    <t>StrongLumio krycia lišta k LED profilom Angular naklapávacia, 3030mm, čierna</t>
  </si>
  <si>
    <t>StrongLumio takaróprofil Angular fekete 3,03m</t>
  </si>
  <si>
    <t>StrongLumio klosz do LED profili Angular wciskany, 3030mm czarna</t>
  </si>
  <si>
    <t>StrongLumio krycí lišta k LED profilům Angular naklapávací, 3030mm mléčná</t>
  </si>
  <si>
    <t>StrongLumio krycia lišta k LED profilom Angular naklapávacia, 3030mm, mliečna</t>
  </si>
  <si>
    <t>StrongLumio takaróprofil Angular tejfehér 3,03m</t>
  </si>
  <si>
    <t>StrongLumioklosz do LED profili Angular wciskany, 3030mm mleczna</t>
  </si>
  <si>
    <t>StrongLumio krycí lišta k LED profilům Maglyte-10 naklapávací, 2030mm černá</t>
  </si>
  <si>
    <t>StrongLumio krycia lišta k LED profilom Maglyte-10 naklapávacia, 2030mm, čierna</t>
  </si>
  <si>
    <t>StrongLumio takaróprofil Maglyte-10 fekete 2,03m</t>
  </si>
  <si>
    <t>StrongLumio klosz do LED profili Maglyte-10 wciskany, 2030mm czarna</t>
  </si>
  <si>
    <t>StrongLumio krycí lišta k LED profilům Maglyte-10 naklapávací, 2030mm mléčná</t>
  </si>
  <si>
    <t>StrongLumio krycia lišta k LED profilom Maglyte-10 naklapávacia, 2030mm, mliečna</t>
  </si>
  <si>
    <t>StrongLumio takaróprofil Maglyte-10 tejfehér 2,03m</t>
  </si>
  <si>
    <t>StrongLumio klosz do LED profili Maglyte-10 wciskany, 2030mm mleczna</t>
  </si>
  <si>
    <t>StrongLumio krycí lišta k LED profilům Maglyte-10 naklapávací, 3030mm černá</t>
  </si>
  <si>
    <t>StrongLumio krycia lišta k LED profilom Maglyte-10 naklapavácia, 3030mm, čierna</t>
  </si>
  <si>
    <t>StrongLumio takaróprofil Maglyte-10 fekete 3,03m</t>
  </si>
  <si>
    <t>StrongLumio klosz do LED profili Maglyte-10 wciskany, 3030mm czarna</t>
  </si>
  <si>
    <t>StrongLumio krycí lišta k LED profilům Maglyte-10 naklapávací, 3030mm mléčná</t>
  </si>
  <si>
    <t>StrongLumio krycia lišta k LED profilom Maglyte-10 naklapávacia, 3030mm, mliečna</t>
  </si>
  <si>
    <t>StrongLumio takaróprofil Maglyte-10 tejfehér 3,03m</t>
  </si>
  <si>
    <t>StrongLumio klosz do LED profili Maglyte-10 wciskany, 3030mm mleczna</t>
  </si>
  <si>
    <t>StrongLumio krycí lišta k VARIO C9 naklapávací mléčná 2000mm</t>
  </si>
  <si>
    <t>TM-krycia lišta k VARIO C9 naklapávacia mliečna 2000mm</t>
  </si>
  <si>
    <t>StrongLumio takaróprofil  VARIO C9 LED profilhoz tejfehér 2m</t>
  </si>
  <si>
    <t>StrongLumio listwa maskująca do VARIO C9 wciskana mleczna 2000mm</t>
  </si>
  <si>
    <t>StrongLumio krycí lišta kulatá Belcore, 2000mm matná</t>
  </si>
  <si>
    <t>StrongLumio krycia lišta guľatá Belcore, 2000mm matná</t>
  </si>
  <si>
    <t>STRONG takaró profil gömbölyű Belcore 2m áttetsző</t>
  </si>
  <si>
    <t>StrongLumio klosz okrągły Belcore, 2000mm przezroczysty</t>
  </si>
  <si>
    <t>StrongLumio krycí lišta kulatá Belcore, 2m mléčná</t>
  </si>
  <si>
    <t>StrongLumio krycia lišta guľatá Belcore, 2m mliečna</t>
  </si>
  <si>
    <t>STRONG takaró profil gömbölyű Belcore 2m tejfehér</t>
  </si>
  <si>
    <t>StrongLumio klosz okrągły Belcore, 2000mm mleczny</t>
  </si>
  <si>
    <t>StrongLumio krycí lišta pro LED profil Arbona, 2000mm matná</t>
  </si>
  <si>
    <t>StrongLumio  krycia lišta pre LED profil Arbona, 2000mm matná</t>
  </si>
  <si>
    <t>STRONG takaró profil Arbona LED-profilhoz 2m</t>
  </si>
  <si>
    <t>StrongLumio klosz do profilu LED Arbona, 2000mm matowy</t>
  </si>
  <si>
    <t>StrongLumio krycí lišta pro LED profil Arbona, 2000mm mléčná</t>
  </si>
  <si>
    <t>StrongLumio krycia lišta pre LED profil Arbona, 2000mm mliečna</t>
  </si>
  <si>
    <t>STRONG takaró profil Arbona LED-profilhoz 2m tejfehér</t>
  </si>
  <si>
    <t>StrongLumio klosz do profilu LED Arbona, 2000mm mleczny</t>
  </si>
  <si>
    <t>StrongLumio krycí lišta pro LED profil Fanto, 2000mm matná</t>
  </si>
  <si>
    <t>StrongLumio krycia lišta pre LED profil Fanto, 2000mm matná</t>
  </si>
  <si>
    <t>STRONG takaró profil LED-hez profil Fanto 2m átlátszó</t>
  </si>
  <si>
    <t>StrongLumio klosz do profilu LED Fanto, 2000mm przezroczysty</t>
  </si>
  <si>
    <t>StrongLumio krycí lišta pro LED profil Fanto, 2m mléčná</t>
  </si>
  <si>
    <t>StrongLumio krycia lišta pre LED profil Fanto, 2m mliečna</t>
  </si>
  <si>
    <t>STRONG takaró profil LED-hez profil Fanto 2m tejfehér</t>
  </si>
  <si>
    <t>StrongLumio klosz do profilu LED Fanto, 2000mm mleczny</t>
  </si>
  <si>
    <t>StrongLumio krycí lišta pro LED profil Ormio, 2000mm matná</t>
  </si>
  <si>
    <t>StrongLumio krycia lišta pre LED profil Ormio, 2000mm matná</t>
  </si>
  <si>
    <t>STRONG takaró profil LED-hez profil Ormio 2m átlátszó</t>
  </si>
  <si>
    <t>StrongLumio klosz do profilu LED Ormio, 2000m przezroczysty</t>
  </si>
  <si>
    <t>StrongLumio krycí lišta pro LED profil Ormio, 2m mléčná</t>
  </si>
  <si>
    <t>StrongLumio krycia lišta pre LED profil Ormio, 2m mliečna</t>
  </si>
  <si>
    <t>STRONG takaró profil LED-hez profil Ormio 2m tejfehér</t>
  </si>
  <si>
    <t>StrongLumio listwa maskująca do LED profilu Ormio, 2000mm mleczny</t>
  </si>
  <si>
    <t>StrongLumio krycí lišta pro LED profil Rail, 2000mm mléčná</t>
  </si>
  <si>
    <t>StrongLumio krycia lišta pre LED profil Rail, 2000mm mliečna</t>
  </si>
  <si>
    <t>STRONG takaró profil Rail LED-profilhoz 2m tejfehér</t>
  </si>
  <si>
    <t>StrongLumio klosz wsuwany do profilu LED Rail, 2000mm mleczny</t>
  </si>
  <si>
    <t>StrongLumio LED mechanický vypínač 12/24V do profilů, 90W/180W</t>
  </si>
  <si>
    <t>StrongLumio LED mechanický vypínač 12/24V do profilov, 90W/180W</t>
  </si>
  <si>
    <t>StrongLumio LED mechanikus kapcsoló 12/24V profilba 90W/180W</t>
  </si>
  <si>
    <t>StrongLumio Włącznik mechaniczny LED  12/24V do profili, 90W/180W</t>
  </si>
  <si>
    <t>StrongLumio LED multivypínač 12/24V žlutá LED kontrolka</t>
  </si>
  <si>
    <t>StrongLumio LED multivypínač 12/24V žltá LED kontrolka</t>
  </si>
  <si>
    <t>STRONG Lumio LED multikapcsoló 12/24V sárga</t>
  </si>
  <si>
    <t>StrongLumio LED multiwyłącznik 12/24V żółty LED</t>
  </si>
  <si>
    <t>StrongLumio LED pásek 12V 12W/m (60 LED/m) 8mm IP65, bílá studená</t>
  </si>
  <si>
    <t>StrongLumio LED pásik 12W/m 12V (60 LED/m) 8 mm, biela studená IP65</t>
  </si>
  <si>
    <t>StrongLumio LED szalag, 12V 12W/m (60 LED/m) 8mm IP65, hideg fehér</t>
  </si>
  <si>
    <t>StrongLumio taśma LED 12W/m 12V (60 LED/m) 8mm, zimna biała IP65</t>
  </si>
  <si>
    <t>StrongLumio LED pásek 12V 12W/m (60 LED/m) 8mm IP65, bílá teplá</t>
  </si>
  <si>
    <t>StrongLumio LED pásik 12W/m 12V (60 LED/m) 8 mm, biela teplá IP65</t>
  </si>
  <si>
    <t>StrongLumio LED szalag, 12V 12W/m (60 LED/m) 8mm IP65, meleg fehér</t>
  </si>
  <si>
    <t>StrongLumio taśma LED 12W/m 12V (60 LED/m) 8mm, ciepła biała IP65</t>
  </si>
  <si>
    <t>StrongLumio LED pásek 12V 14,4W/m (60 LED/m) 10mm IP65, bílá studená</t>
  </si>
  <si>
    <t>StrongLumio LED pásik 12V 14,4W/m (60 LED/m) 10mm IP65 biela studená</t>
  </si>
  <si>
    <t>StrongLumio LED szalag, 12V 14,4W/m (60 LED/m) 10mm, hideg fehér</t>
  </si>
  <si>
    <t>StrongLumio taśma LED 12V 14,4W/m (60 LED/m) 10mm IP65 zimna biała</t>
  </si>
  <si>
    <t>StrongLumio LED pásek 12V 14,4W/m (60 LED/m) 10mm, bílá neutrální</t>
  </si>
  <si>
    <t>StrongLumio LED pásik 12V 14,4W/m  (60 LED/m) 10mm biela neutrálna</t>
  </si>
  <si>
    <t>StrongLumio LED szalag 12V 14,4W/m  (60 LED/m) 10mm  semleges fehér</t>
  </si>
  <si>
    <t>StrongLumio taśma LED 14,4W/m 12V (60 LED/m) 10mm, biała neutralna</t>
  </si>
  <si>
    <t>StrongLumio LED pásek 12V 14,4W/m (60 LED/m) 10mm, bílá studená</t>
  </si>
  <si>
    <t>StrongLumio LED pásik 14,4W/m 12V (60 LED/m) 10mm, biela studená</t>
  </si>
  <si>
    <t>StrongLumio taśma LED 14,4W/m 12V (60 LED/m) 10mm, zimna biała</t>
  </si>
  <si>
    <t>StrongLumio LED pásek 12V 14,4W/m (60 LED/m) 10mm, bílá teplá</t>
  </si>
  <si>
    <t>StrongLumio LED pásik 14,4W/m 12V (60LED/m) 10 mm, biela teplá</t>
  </si>
  <si>
    <t>StrongLumio LED szalag, 12V 14,4W/m (60 LED/m) 10mm, meleg fehér</t>
  </si>
  <si>
    <t>StrongLumio taśma LED 14,4W/m 12V (60 LED/m) 10mm, ciepła biała</t>
  </si>
  <si>
    <t>StrongLumio LED pásek 12V 4,8W/m (60 LED/m) 8mm IP65, bílá studená</t>
  </si>
  <si>
    <t>StrongLumio LED pásik 4,8W/m 12V (60 LED/m) 8mm, biela studená, IP65</t>
  </si>
  <si>
    <t>StrongLumio LED szalag, 12V 4,8W/m (60 LED/m) 8mm, hideg fehér</t>
  </si>
  <si>
    <t>StrongLumio taśma LED 4,8W/m 12V (60 LED/m) 8mm, zimna biała IP65</t>
  </si>
  <si>
    <t>StrongLumio LED pásek 12V 4,8W/m (60 LED/m) 8mm IP65, bílá teplá</t>
  </si>
  <si>
    <t>StrongLumio LED pásik 4,8W/m 12V (60 LED/m) 8mm, biela teplá, IP65</t>
  </si>
  <si>
    <t>StrongLumio taśma LED 4,8W/m 12V (60 LED/m) 8mm, ciepła biała IP65</t>
  </si>
  <si>
    <t>StrongLumio LED pásek 14,4W/m 24V (60 LED/m) 12mm RGBW, bílá neutrální</t>
  </si>
  <si>
    <t>StrongLumio LED pásik 14,4W/m 24V (60 LED/m) - 12mm RGBW neutrálna biela</t>
  </si>
  <si>
    <t>StrongLumio LED szalag, 14,4W/m 24V, RGBW (60 LED/m), színes + semleges fehér</t>
  </si>
  <si>
    <t>StrongLumio LED pásek 14,4W/m 24V (60 LED/m) 12mm RGBW, bílá studená</t>
  </si>
  <si>
    <t>StrongLumio LED pásik 14,4W/m 24V (60 LED/m) - 12mm RGBW studená biela</t>
  </si>
  <si>
    <t>StrongLumio LED szalag, 14,4W/m 24V, RGBW 12mm (60 LED/m), színes + hideg fehér</t>
  </si>
  <si>
    <t>StrongLumio LED pásek 24V 14,4W/m (120 LED/m) 10mm IP20, RGB</t>
  </si>
  <si>
    <t>StrongLumio LED pásik 24V 14,4W/m (120 LED/m) 10mm IP20, RGB</t>
  </si>
  <si>
    <t>StrongLumio LED szalag, 24V 14,4W/m (120 LED/m) 10mm IP20, RGB</t>
  </si>
  <si>
    <t>StrongLumio taśma LED 14,4W/m 24V (120 LED/m) 10mm, RGB IP20</t>
  </si>
  <si>
    <t>StrongLumio LED pásek 24V 14,4W/m (120 LED/m) 10mm IP54, RGB</t>
  </si>
  <si>
    <t>StrongLumio LED pásik 24V 14,4W/m (120 LED/m) 10mm IP54, RGB</t>
  </si>
  <si>
    <t>StrongLumio LED szalag, 24V 14,4W/m (120 LED/m) 10mm IP54, RGB</t>
  </si>
  <si>
    <t>StrongLumio taśma LED 14,4W/m 24V (120 LED/m) 10mm, RGB IP54</t>
  </si>
  <si>
    <t>StrongLumio LED pásek 24V 14,4W/m (120 LED/m) 8mm CRI90, bílá neutrální</t>
  </si>
  <si>
    <t>StrongLumio LED pásik 24V 14,4W/m (120 LED/m) 8mm CRI90, biela neutrálna</t>
  </si>
  <si>
    <t>StrongLumio LED szalag, 24V 14,4W/m (120 LED/m) 8mm CRI90, semleges fehér</t>
  </si>
  <si>
    <t>StrongLumio taśma LED 24V 14,4W/m (120 LED/m) 8m biała neutralna 5 lat gwarancji</t>
  </si>
  <si>
    <t>StrongLumio LED pásek 24V 14,4W/m (120 LED/m) 8mm CRI90, bílá studená</t>
  </si>
  <si>
    <t>StrongLumio LED pásik 24V 14,4W/m (120 LED/m) 8mm CRI90 biela studená</t>
  </si>
  <si>
    <t>StrongLumio LED szalag, 24V 14,4W/m (120 LED/m) 8mm CRI90, hideg fehér</t>
  </si>
  <si>
    <t>StrongLumio taśma LED 24V 14,4W/m (120 LED/m) 8mm zimna biała (5 lat gwarancji)</t>
  </si>
  <si>
    <t>StrongLumio LED pásek 24V 14,4W/m (120 LED/m) 8mm CRI90, bílá teplá</t>
  </si>
  <si>
    <t>StrongLumio LED pásik 24V 14,4W/m (120 LED/m) 8mm CRI90 biela teplá</t>
  </si>
  <si>
    <t>StrongLumio LED szalag, 24V 14,4W/m (120 LED/m) 8mm CRI90, meleg fehér</t>
  </si>
  <si>
    <t>StrongLumio taśma LED 24V 14,4W/m (120 LED/m) 8mm ciepła biała (5 lat gwarancji)</t>
  </si>
  <si>
    <t>StrongLumio LED pásek 24V 14,4W/m (60 LED/m) 10mm CCT</t>
  </si>
  <si>
    <t>StrongLumio LED pásik 24V 14,4W/m (60 LED/m) 10mm CCT</t>
  </si>
  <si>
    <t>StrongLumio LED szalag, 24V 14,4W/m (60 LED/m) 10mm CCT</t>
  </si>
  <si>
    <t>StrongLumio taśma LED 24V 14,4W/m (60 LED/m) 10mm CCT</t>
  </si>
  <si>
    <t>StrongLumio LED pásek 24V 14,4W/m (60 LED/m) 10mm IP20 RGB</t>
  </si>
  <si>
    <t>StrongLumio LED pásik 24V 14,4W/m (60 LED/m) 10mm, RGB IP20</t>
  </si>
  <si>
    <t>StrongLumio LED szalag, 24V 14,4W/m (60 LED/m) 10mm IP20 RGB</t>
  </si>
  <si>
    <t>StrongLumio taśma LED 14,4W/m 24V (60 LED/m) 10mm, RGB IP20</t>
  </si>
  <si>
    <t>StrongLumio LED pásek 24V 14,4W/m (60 LED/m) 10mm IP65 RGB</t>
  </si>
  <si>
    <t>StrongLumio LED pásik 14,4W/m 24V (60 LED/m) 10mm, RGB IP65</t>
  </si>
  <si>
    <t>StrongLumio LED szalag, 24V 14,4W/m (60 LED/m) 10mm IP65 RGB</t>
  </si>
  <si>
    <t>StrongLumio taśma LED 14,4W/m 24V (60 LED/m) 10mm, RGB IP65</t>
  </si>
  <si>
    <t>StrongLumio LED pásek 24V 14,4W/m (60 LED/m) 10mm, bílá neutrální</t>
  </si>
  <si>
    <t>StrongLumio LED pásik 14,4W/m 24V (60 LED/m) 10mm, biela neutrálna</t>
  </si>
  <si>
    <t>StrongLumio LED szalag, 24V 14,4W/m (60 LED/m) 10mm, semleges fehér</t>
  </si>
  <si>
    <t>StrongLumio taśma LED 14,4W/m 24V (60 LED/m) 10mm, biały neutralny</t>
  </si>
  <si>
    <t>StrongLumio LED pásek 24V 14,4W/m (60 LED/m) 10mm, bílá studená</t>
  </si>
  <si>
    <t>StrongLumio LED pásik 14,4W/m 24V (60 LED/m) 10mm, biela studená</t>
  </si>
  <si>
    <t>StrongLumio LED szalag, 24V 14,4W/m (60 LED/m) 10mm, hideg fehér</t>
  </si>
  <si>
    <t>StrongLumio taśma LED 14,4W/m 24V (60 LED/m) 10mm, zimna biała</t>
  </si>
  <si>
    <t>StrongLumio LED pásek 24V 14,4W/m (60 LED/m) 10mm, bílá teplá</t>
  </si>
  <si>
    <t>StrongLumio LED pásik 14,4W/m 24V (60 LED/m) 10mm, biela teplá</t>
  </si>
  <si>
    <t>StrongLumio LED szalag, 24V 14,4W/m (60 LED/m) 10mm, meleg fehér</t>
  </si>
  <si>
    <t>StrongLumio taśma LED 14,4W/m 24V (60 LED/m) 10mm, ciepła biała</t>
  </si>
  <si>
    <t>StrongLumio LED pásek 24V 14,4W/m (60 LED/m) 12mm RGBCCT</t>
  </si>
  <si>
    <t>StrongLumio led pásik 24V 14,4W/m (60 led/m) 12mm RGBCCT</t>
  </si>
  <si>
    <t>StrongLumio LED szalag, 24V 14,4W/m (60 LED/m) 12mm RGBCCT</t>
  </si>
  <si>
    <t>StrongLumio LED pásek 24V 14,4W/m (60 LED/m) 12mm RGBW, bílá teplá</t>
  </si>
  <si>
    <t>StrongLumio LED pásik 14,4W/m 24V (60 LED/m) 12mm RGBW, teplá biela</t>
  </si>
  <si>
    <t>StrongLumio LED szalag, 24V 14,4W/m (60 LED/m) 12mm, RGBW, meleg fehér, IP20</t>
  </si>
  <si>
    <t>StrongLumio taśma LED 14,4W/m 24V (60 LED/m) 12mm RGBW, ciepła biała</t>
  </si>
  <si>
    <t>StrongLumio LED pásek 24V 21,6W/m (210 LED/m) 10mm CRI90, bílá neutrální</t>
  </si>
  <si>
    <t>StrongLumio LED pásik 24V 21,6W/m (210 LED/m) 10mm CRI90 biela neutrálna</t>
  </si>
  <si>
    <t>StrongLumio LED szalag, 24V 21,6W/m (210 LED/m) 10mm CRI90, semleges fehér</t>
  </si>
  <si>
    <t>StrongLumio taśma LED 24V 21,6W/m (210 LED/m) 10mm CRI90 biała neutralna</t>
  </si>
  <si>
    <t>StrongLumio LED pásek 24V 21,6W/m (210 LED/m) 10mm CRI90, bílá studená</t>
  </si>
  <si>
    <t>StrongLumio LED pásik 24V 21,6W/m (210 LED/m) 10mm CRI90 biela studená</t>
  </si>
  <si>
    <t>StrongLumio LED szalag, 24V 21,6W/m (210 LED/m) 10mm CRI90, hideg fehér</t>
  </si>
  <si>
    <t>StrongLumio taśma LED 24V 21,6W/m (210 LED/m) 10mm zimna biała (5 lat gwarancji)</t>
  </si>
  <si>
    <t>StrongLumio LED pásek 24V 26W/m (304 LED/m) 10mm, bílá neutrální</t>
  </si>
  <si>
    <t>StrongLumio LED pásik 24V 26W/m (304 LED/m) 10mm, biela neutrálna</t>
  </si>
  <si>
    <t>StrongLumio LED szalag, 24V 26W/m (304 LED/m) 10mm, semleges fehér</t>
  </si>
  <si>
    <t>StrongLumio taśma LED 26W/m 24V (304 Led/m) 10mm, biała neutralna</t>
  </si>
  <si>
    <t>StrongLumio LED pásek 24V 26W/m (304 LED/m) 10mm, bílá studená</t>
  </si>
  <si>
    <t>StrongLumio LED pásik 24V 26W/m (304 LED/m) 10mm, biela studená</t>
  </si>
  <si>
    <t>StrongLumio LED szalag, 24V 26W/m (304 LED/m) 10mm, hideg fehér</t>
  </si>
  <si>
    <t>StrongLumio taśma LED 26W/m 24V (304 LED/m) 10mm, biały zimny</t>
  </si>
  <si>
    <t>StrongLumio LED pásek 24V 26W/m (304 LED/m) 10mm, bílá teplá</t>
  </si>
  <si>
    <t>StrongLumio LED pásik 24V 26W/m (304 LED/m) 10mm, biela teplá</t>
  </si>
  <si>
    <t>StrongLumio LED szalag, 24V 26W/m (304 LED/m) 10mm, meleg fehér</t>
  </si>
  <si>
    <t>StrongLumio Taśma LED 26W/m 24V (304 LED/m) 10mm, ciepły biały</t>
  </si>
  <si>
    <t>StrongLumio LED pásek 24V 6W/m (120 LED/m) 8mm CRI90, bílá neutrální</t>
  </si>
  <si>
    <t>StrongLumio LED pásik 24V 6W/m (120 LED/m) 8mm CRI90 biela neutrálna</t>
  </si>
  <si>
    <t>StrongLumio LED szalag 24V 6W/m (120 LED/m) 8mm CRI90, semleges fehér</t>
  </si>
  <si>
    <t>StrongLumio taśma LED 24V 6W/m (120 LED) CRI90 biała neutralna 5 lat gwarancji</t>
  </si>
  <si>
    <t>StrongLumio LED pásek 24V 6W/m (120 LED/m) 8mm CRI90, bílá studená</t>
  </si>
  <si>
    <t>StrongLumio LED pásik 24V 6W/m (120 LED/m) 8mm CRI90 biela studená</t>
  </si>
  <si>
    <t>StrongLumio LED szalag 24V 6W/m (120 LED/m) 8mm CRI90, hideg fehér</t>
  </si>
  <si>
    <t>StrongLumio taśma LED 24V 6W/m (120 LED/m) 8mm CRI zimna biała (5 lat gwarancji)</t>
  </si>
  <si>
    <t>StrongLumio LED pásek 24V 6W/m (120 LED/m) 8mm CRI90, bílá teplá</t>
  </si>
  <si>
    <t>StrongLumio LED pásik 24V 6W/m (120 LED/m) 8mm CRI90 biela teplá</t>
  </si>
  <si>
    <t>StrongLumio LED szalag 24V 6W/m (120 LED/m) 8mm CRI90, meleg fehér</t>
  </si>
  <si>
    <t>StrongLumio taśma LED 24V 6W/m (120 LED ciepła biała (5 lat gwarancji)</t>
  </si>
  <si>
    <t>StrongLumio LED pásek 4,8W/m 12V (60 LED/m) 8mm, extra bílá teplá</t>
  </si>
  <si>
    <t>StrongLumio LED taśma COB 12V 10W/m (480 LED/m) 8mm, biała neutralna</t>
  </si>
  <si>
    <t>StrongLumio LED pasek COB 12V 10W/m (480 LED/m) 8mm, biała zimna</t>
  </si>
  <si>
    <t>StrongLumio LED taśma COB 12V 10W/m (480 LED/m) 8mm, biały ciepły</t>
  </si>
  <si>
    <t>StrongLumio LED pásek COB 24V 10+10W/m (576 LED/m) - 8mm 2PIN CCT</t>
  </si>
  <si>
    <t>StrongLumio LED szalag, COB 24V, 10+10W/m (576 LED/m) - 8mm 2PIN CCT</t>
  </si>
  <si>
    <t>StrongLumio LED – taśma COB 24V 10+10W/m (576 LED/m) – 8 mm 2PIN CCT</t>
  </si>
  <si>
    <t>StrongLumio LED pásek COB 24V 11+11W/m (608 LED/m) 10mm CCT</t>
  </si>
  <si>
    <t>StrongLumio led pásik COB 24V 11+11W/m (608 led/m) - 10mm - CCT</t>
  </si>
  <si>
    <t>StrongLumio LED szalag, COB 24V 11+11W/m (608 LED/m) - 10mm - CCT</t>
  </si>
  <si>
    <t>StrongLumio LED pásek COB 24V 15W/m (840 LED/m) 10mm RGB</t>
  </si>
  <si>
    <t>StrongLumio Led pásik COB 24V 15W/m (840 led/m) - 10mm - RGB</t>
  </si>
  <si>
    <t>StrongLumio LED szalag, COB 24V 15W/m (840 LED/m) - 10mm - RGB</t>
  </si>
  <si>
    <t>StrongLumio LED pásek neon 24V 9,6W/m (120 LED/m) IP67, bílá teplá</t>
  </si>
  <si>
    <t>StrongLumio LED pásik 24V 9,6W/m (120 LED)  neón IP67, biela teplá</t>
  </si>
  <si>
    <t>StrongLumio LED szalag, neon 24V 9,6W/m (120 LED/m) IP67, meleg fehér</t>
  </si>
  <si>
    <t>StrongLumio taśma LED neon 24V 9,6W/m (120 LED/m) IP67 biała ciepła</t>
  </si>
  <si>
    <t>StrongLumio LED pásik neón 4x10 mm 24V 9,6W (168 LED/m) IP67 biela teplá</t>
  </si>
  <si>
    <t>StrongLumio LED pásek neon 4x10mm 24V 9,6W/m (120 LED/m) IP67, bílá teplá</t>
  </si>
  <si>
    <t>StrongLumio LED pásik neon 4x10mm 24V 9,6W/m (120 LED/m) IP67, biela teplá</t>
  </si>
  <si>
    <t>StrongLumio LED szalag neon 4x10mm, 24V 9,6W/m (120 LED/m) IP67, meleg fehér</t>
  </si>
  <si>
    <t>StrongLumio taśma LED 9,6W/m 24V (120LED), biała ciepła neon IP67</t>
  </si>
  <si>
    <t>StrongLumio LED pásik neon 6x12 mm 24V 9,6W , 168 LED/m IP67 biela neutrálna</t>
  </si>
  <si>
    <t>StrongLumio LED pásik neon 6x12 mm 24V 9,6W , 168 LED/m IP67 biela teplá</t>
  </si>
  <si>
    <t>StrongLumio LED pásik vysoká svietivosť 24V 20W/m(240 LED/m)10mm,biela neutrál</t>
  </si>
  <si>
    <t>StrongLumio LED pružinový vypínač 12/24V do profilů 90W/180W žlutá kontrolka</t>
  </si>
  <si>
    <t>StrongLumio LED pružinový spínač 12/24V pre profily 90W/180W žltá kontrolka</t>
  </si>
  <si>
    <t>StrongLumio LED włącznik sprężynowy 12/24V do profili 90W/180W żółta</t>
  </si>
  <si>
    <t>StrongLumio LED rohový spoj pájecí 10mm</t>
  </si>
  <si>
    <t>StrongLumio LED rohový spoj pájací 10mm</t>
  </si>
  <si>
    <t>STRONG LED sarok csatlakozó forrasztásra 10 mm</t>
  </si>
  <si>
    <t>StrongLumio LED narożnik do taśm ledowych - lutowany 10mm</t>
  </si>
  <si>
    <t>StrongLumio LED rohový spoj pájecí 10mm RGB</t>
  </si>
  <si>
    <t>STRONG LED sarok csatlakozó forrasztásra 10 mm RGB</t>
  </si>
  <si>
    <t>StrongLumio LED narożnik do taśm ledowych - lutowany 10mm RGB</t>
  </si>
  <si>
    <t>StrongLumio LED rohový spoj pájecí 8mm</t>
  </si>
  <si>
    <t>StrongLumio LED rohový spoj pájací 8mm</t>
  </si>
  <si>
    <t>STRONG LED sarok csatlakozó forrasztásra 8 mm</t>
  </si>
  <si>
    <t>StrongLumio LED narożnik do taśm ledowych - lutowany 8mm</t>
  </si>
  <si>
    <t>StrongLumio LED svítidlo s pohybovým senzorem, bílá</t>
  </si>
  <si>
    <t>StrongLumio LED svietidlo s pohybovým senzorom, biela</t>
  </si>
  <si>
    <t>StrongLumio LED-lámpa mozgásérzékelővel, fehér</t>
  </si>
  <si>
    <t>StrongLumio LED - Lampa z czujnikiem ruchu, biała</t>
  </si>
  <si>
    <t>StrongLumio LED svítidlo s pohybovým senzorem, černá</t>
  </si>
  <si>
    <t>StrongLumio LED svietidlo s pohybovým senzorom, čierna</t>
  </si>
  <si>
    <t>StrongLumio LED-lámpa mozgásérzékelővel, fekete</t>
  </si>
  <si>
    <t>StrongLumio LED - Lampa z czujnikiem ruchu, czarna</t>
  </si>
  <si>
    <t>StrongLumio LED vypínač/stmívač do profilu 12/24V, bez LED kontrolky</t>
  </si>
  <si>
    <t>StrongLumio LED vypínač/stmievač do profilu 12/24V, bez LED kontrolky</t>
  </si>
  <si>
    <t>StrongLumio LED kapcsoló/dimmelő profilba 12/24V LED kijelző nélkül</t>
  </si>
  <si>
    <t>StrongLumio LED wyłącznik/ściemniacz do listwy 12/24V, bez kontrolki LED</t>
  </si>
  <si>
    <t>StrongLumio LED vypínač/stmívač do profilu 12/24V, modrá kontrolka</t>
  </si>
  <si>
    <t>StrongLumio LED vypínač/stmievač do profilu 12/24V, modrá kontrolka</t>
  </si>
  <si>
    <t>StrongLumio LED kapcsoló/dimmelő profilba 12/24V, kék LED kijelzővel</t>
  </si>
  <si>
    <t>StrongLumio LED wyłącznik/ściemniacz do listwy 12/24V, niebieska LED dioda</t>
  </si>
  <si>
    <t>StrongLumio LED vypínač/stmívač do profilu 12/24V, žlutá kontrolka</t>
  </si>
  <si>
    <t>StrongLumio LED vypínač/stmievač do profilu 12/24V, žltá kontrolka</t>
  </si>
  <si>
    <t>StrongLumio LED kapcsoló/dimmelő profilba 12/24V, sárga LED kijelzővel</t>
  </si>
  <si>
    <t>StrongLumio LED wyłącznik/ściemniacz do listwy 12/24V, żółta LED dioda</t>
  </si>
  <si>
    <t>StrongLumio lepící páska oboustranná 12mm super silná pro LED profily 25m</t>
  </si>
  <si>
    <t>StrongLumio lepiaca páska obojstranná 12mm super silná pre led profily 25m</t>
  </si>
  <si>
    <t>Kétoldalas ragasztószalag 12 mm LED profilokhoz, szuper erős, 25m</t>
  </si>
  <si>
    <t>StrongLumio taśma klejąca obustronna 12mm do profili LED super mocna 25m</t>
  </si>
  <si>
    <t>StrongLumio lepící páska oboustranná 12mm super silná pro LED profily 5m</t>
  </si>
  <si>
    <t>StrongLumio lepiaca páska obojstranná 12mm super silná pre LED profily 5m</t>
  </si>
  <si>
    <t>Kétoldalas ragasztószalag 12 mm LED profilokhoz, szuper erős, 5m</t>
  </si>
  <si>
    <t>StrongLumio taśma klejąca dwustronna 12mm do profili LED super mocna 5m</t>
  </si>
  <si>
    <t>StrongLumio magnetický senzor pro dveřní vypínač</t>
  </si>
  <si>
    <t>StrongLumio magnetický senzor pre dverový vypínač</t>
  </si>
  <si>
    <t>StrongLumio magnetyczny czujnik do wyłącznika drzwiowego</t>
  </si>
  <si>
    <t>StrongLumio napájecí DC zdířka 2,1mm se svorkovnicí (samec)</t>
  </si>
  <si>
    <t>StrongLumio napájací DC zdierka 2,1mm so svorkovnicou (samec)</t>
  </si>
  <si>
    <t>StrongLumio gniazdo zasilania DC 2,1 mm z zaciskiem (złacze męskie)</t>
  </si>
  <si>
    <t>StrongLumio napájecí DC zdířka 2,1mm se svorkovnicí (samice)</t>
  </si>
  <si>
    <t>StrongLumio napájací DC adaptér 2,1mm, so svorkovnicou</t>
  </si>
  <si>
    <t>StrongLumio DC tápcsatlakozó, konnektor kábel x jack, 2,1mm</t>
  </si>
  <si>
    <t>StrongLumio złącze zasilające DC 2,1mm, z  zaciskiem</t>
  </si>
  <si>
    <t>StrongLumio napájecí zdroj 12V - 100W (8x mini konektor + 1x 3PIN konektor)</t>
  </si>
  <si>
    <t>StrongLumio napájací zdroj 12V - 100W (8x mini konektor + 1x 3PIN konektor)</t>
  </si>
  <si>
    <t>StrongLumio tápegység 12V - 100W (8x mini csatlakozó + 1x 3PIN csatlakozó)</t>
  </si>
  <si>
    <t>StrongLumio zasilacz 12V - 100W (8x złącze mini + 1x złącze 3PIN)</t>
  </si>
  <si>
    <t>StrongLumio napájecí zdroj 12V - 24W (4x mini konektor + 1x 3PIN konektor)</t>
  </si>
  <si>
    <t>StrongLumio napájací zdroj 12V - 24W (4x mini konektor + 1x 3PIN konektor)</t>
  </si>
  <si>
    <t>StrongLumio tápegység 12V - 24W (4x mini csatlakozó + 1x 3PIN csatlakozó)</t>
  </si>
  <si>
    <t>StrongLumio zasilacz 12V - 24W (4 złącza mini + 1 złącze 3PIN)</t>
  </si>
  <si>
    <t>StrongLumio napájecí zdroj 12V - 36W (6x mini konektor + 1x 3PIN konektor)</t>
  </si>
  <si>
    <t>StrongLumio napájací zdroj 12V - 36W (6x mini konektor + 1x 3PIN konektor)</t>
  </si>
  <si>
    <t>StrongLumio tápegység 12V - 36W (6x mini csatlakozó + 1x 3PIN csatlakozó)</t>
  </si>
  <si>
    <t>Zasilacz StrongLumio 12V 36W (6× MINI + 1× 3PIN)</t>
  </si>
  <si>
    <t>StrongLumio napájecí zdroj 12V - 60W (7x mini konektor + 1x 3PIN konektor)</t>
  </si>
  <si>
    <t>StrongLumio napájací zdroj 12V - 60W (7x mini konektor + 1x 3PIN konektor)</t>
  </si>
  <si>
    <t>StrongLumio tápegység 12V - 60W (7x mini csatlakozó + 1x 3PIN csatlakozó)</t>
  </si>
  <si>
    <t>StrongLumio zasilacz 12V - 60W (7x złącze mini + 1x złącze 3PIN)</t>
  </si>
  <si>
    <t>StrongLumio napájecí zdroj 24V - 100W (8x mini konektor + 1x 3PIN konektor)</t>
  </si>
  <si>
    <t>StrongLumio napájací zdroj 24V - 100W (8x mini konektor + 1x 3PIN konektor)</t>
  </si>
  <si>
    <t>StrongLumio tápegység 24V - 100W (8x mini csatlakozó + 1x 3PIN csatlakozó)</t>
  </si>
  <si>
    <t>StrongLumio zasilacz 24V-100W (8x złącze mini + 1x złącze 3PIN)</t>
  </si>
  <si>
    <t>StrongLumio napájecí zdroj 24V - 36W (6x mini konektor + 1x 3PIN konektor)</t>
  </si>
  <si>
    <t>StrongLumio napájací zdroj 24V - 36W (6x mini konektor + 1x 3PIN konektor)</t>
  </si>
  <si>
    <t>StrongLumio tápegység 24V - 36W (6x mini csatlakozó + 1x 3PIN csatlakozó)</t>
  </si>
  <si>
    <t>StrongLumio zasilacz 24V - 36W (6x złącze mini + 1x złącze 3PIN)</t>
  </si>
  <si>
    <t>StrongLumio napájecí zdroj 24V - 60W (7x mini konektor + 1x 3PIN konektor)</t>
  </si>
  <si>
    <t>StrongLumio napájací zdroj 24V - 60W (7x mini konektor + 1x 3PIN konektor)</t>
  </si>
  <si>
    <t>StrongLumio tápegység 24V - 60W (7x mini csatlakozó + 1x 3PIN csatlakozó)</t>
  </si>
  <si>
    <t>Zasilacz StrongLumio 24V 60W (7× MINI + 1× 3PIN)</t>
  </si>
  <si>
    <t>StrongLumio napájecí zdroj 24V - 80W (8x mini konektor + 1x 3PIN konektor)</t>
  </si>
  <si>
    <t>StrongLumio napájací zdroj 24V - 80W (8x mini konektor + 1x 3PIN konektor)</t>
  </si>
  <si>
    <t>StrongLumio tápegység 24V - 80W (8x mini csatlakozó + 1x 3PIN csatlakozó)</t>
  </si>
  <si>
    <t>StrongLumio zasilacz 24V - 80W (8x złącze mini + 1x złącze 3PIN)</t>
  </si>
  <si>
    <t>StrongLumio napájecí zdroj plochý pro LED 12V - 150W</t>
  </si>
  <si>
    <t>StrongLumio napájací zdroj plochý pre LED 12V – 150W</t>
  </si>
  <si>
    <t>StrongLumio lapos tápegység LED-hez 12V – 150W</t>
  </si>
  <si>
    <t>StrongLumio płaski zasilacz do LED 12V – 150W</t>
  </si>
  <si>
    <t>StrongLumio napájecí zdroj plochý pro LED 12V - 50W</t>
  </si>
  <si>
    <t>StrongLumio napájací zdroj plochý pre LED 12V – 50W</t>
  </si>
  <si>
    <t>StrongLumio lapos tápegység LED-hez 12V – 50W</t>
  </si>
  <si>
    <t>StrongLumio zasilacz płaski do LED 12V – 50W</t>
  </si>
  <si>
    <t>StrongLumio napájecí zdroj plochý pro LED 12V, 100W</t>
  </si>
  <si>
    <t>StrongLumio napájací zdroj plochý pre LED 12V, 100W</t>
  </si>
  <si>
    <t>StrongLumio tápegység, 12V, 100W, lapos</t>
  </si>
  <si>
    <t>StrongLumio zasilacz płaski do LED 12V, 100W</t>
  </si>
  <si>
    <t>StrongLumio napájecí zdroj plochý pro LED 12V, 15W</t>
  </si>
  <si>
    <t>StrongLumio napájací zdroj plochý pre LED 12V, 15W</t>
  </si>
  <si>
    <t>StrongLumio tápegység, 12V, 15W, lapos</t>
  </si>
  <si>
    <t>StrongLumio zasilacz płaski do LED 12V, 15W</t>
  </si>
  <si>
    <t>StrongLumio napájecí zdroj plochý pro LED 12V, 30W</t>
  </si>
  <si>
    <t>StrongLumio napájací zdroj plochý pre LED 12V, 30W</t>
  </si>
  <si>
    <t>StrongLumio tápegység, 12V, 30W, lapos</t>
  </si>
  <si>
    <t>StrongLumio zasilacz płaski do LED 12V, 30W</t>
  </si>
  <si>
    <t>StrongLumio napájecí zdroj plochý pro LED 12V, 60W</t>
  </si>
  <si>
    <t>StrongLumio napájací zdroj plochý pre LED 12V, 60W</t>
  </si>
  <si>
    <t>StrongLumio tápegység, 12V, 60W, lapos</t>
  </si>
  <si>
    <t>StrongLumio zasilacz płaski do LED 12V, 60W</t>
  </si>
  <si>
    <t>StrongLumio napájecí zdroj plochý pro LED 12V, 75W</t>
  </si>
  <si>
    <t>StrongLumio napájací zdroj plochý pre LED 12V, 75W</t>
  </si>
  <si>
    <t>StrongLumio tápegység, 12V, 75W, lapos</t>
  </si>
  <si>
    <t>StrongLumio zasilacz płaski do LED 12V, 75W</t>
  </si>
  <si>
    <t>StrongLumio napájecí zdroj plochý pro LED 24V - 150W</t>
  </si>
  <si>
    <t>StrongLumio napájací zdroj  plochý pre LED 24V – 150W</t>
  </si>
  <si>
    <t>StrongLumio lapos tápegység LED-hez 24V – 150W</t>
  </si>
  <si>
    <t>StrongLumio płaski zasilacz do LED 24V – 150W</t>
  </si>
  <si>
    <t>StrongLumio napájecí zdroj plochý pro LED 24V - 30W</t>
  </si>
  <si>
    <t>StrongLumio napájací zdroj plochý pre LED 24V – 30W</t>
  </si>
  <si>
    <t>StrongLumio lapos tápegység LED-hez 24V – 30W</t>
  </si>
  <si>
    <t>StrongLumio płaski zasilacz do LED 24V – 30W</t>
  </si>
  <si>
    <t>StrongLumio napájecí zdroj plochý pro LED 24V - 50W</t>
  </si>
  <si>
    <t>StrongLumio napájací zdroj plochý pre LED 24V – 50W</t>
  </si>
  <si>
    <t>StrongLumio lapos tápegység LED-hez 24V – 50W</t>
  </si>
  <si>
    <t>StrongLumio płaski zasilacz do LED 24V – 50W</t>
  </si>
  <si>
    <t>StrongLumio napájecí zdroj plochý pro LED 24V, 40W</t>
  </si>
  <si>
    <t>StrongLumio napájací zdroj plochý pre LED 24V, 40W</t>
  </si>
  <si>
    <t>StrongLumio tápegység, 24V, 40W, lapos</t>
  </si>
  <si>
    <t>StrongLumio  zasilacz płaski do LED 24V, 40W</t>
  </si>
  <si>
    <t>StrongLumio napájecí zdroj plochý pro LED 24V, 60W</t>
  </si>
  <si>
    <t>StrongLumio napájací zdroj plochý pre LED 24V, 60W</t>
  </si>
  <si>
    <t>StrongLumio tápegység, 24V, 60W, lapos</t>
  </si>
  <si>
    <t>StrongLumio zasilacz płaski do LED 24V, 60W</t>
  </si>
  <si>
    <t>StrongLumio napájecí zdroj plochý pro LED 24V, 75W</t>
  </si>
  <si>
    <t>StrongLumio napájací zdroj plochý pre LED 24V, 75W</t>
  </si>
  <si>
    <t>StrongLumio tápegység, 24V, 75W, lapos</t>
  </si>
  <si>
    <t>StrongLumio zasilacz płaski do LED 24V, 75W</t>
  </si>
  <si>
    <t>StrongLumio napájecí zdroj plochý pro LED, 24V 100W</t>
  </si>
  <si>
    <t>StrongLumio napájací zdroj plochý pre LED 24V, 100W</t>
  </si>
  <si>
    <t>StrongLumio tápegység, 24V, 100W, lapos</t>
  </si>
  <si>
    <t>StrongLumio zasilacz płaski do LED 24V, 100W</t>
  </si>
  <si>
    <t>StrongLumio napájecí zdroj pro LED 12V - 24W do zásuvky</t>
  </si>
  <si>
    <t>StrongLumio napájací zdroj pre LED 12V – 24W do zásuvky</t>
  </si>
  <si>
    <t>StrongLumio tápegység LED-hez 12V – 24W, konnektorba</t>
  </si>
  <si>
    <t>StrongLumio zasilacz do LED 12V – 24W do gniazdka</t>
  </si>
  <si>
    <t>StrongLumio napájecí zdroj pro LED 12V - 36W do zásuvky</t>
  </si>
  <si>
    <t>StrongLumio napájací zdroj pre LED 12V - 36W do zásuvky</t>
  </si>
  <si>
    <t>StrongLumio tápegység LED-hez 12V - 36W, konnektorba</t>
  </si>
  <si>
    <t>StrongLumio zasilacz do LED 12V - 36W do gniazdka</t>
  </si>
  <si>
    <t>StrongLumio napájecí zdroj pro LED 12V, 120W</t>
  </si>
  <si>
    <t>StrongLumio napájací zdroj pre LED 12V, 120W</t>
  </si>
  <si>
    <t>StrongLumio tápegység, 12V, 120W</t>
  </si>
  <si>
    <t>StrongLumio zasilacz do  LED 12V, 120W</t>
  </si>
  <si>
    <t>StrongLumio napájecí zdroj pro LED 12V, 18W</t>
  </si>
  <si>
    <t>StrongLumio napájací zdroj pre LED 12V, 18W</t>
  </si>
  <si>
    <t>StrongLumio tápegység, 12V, 18W</t>
  </si>
  <si>
    <t>StrongLumio zasilacz do LED 12V, 18W</t>
  </si>
  <si>
    <t>StrongLumio napájecí zdroj pro LED 12V, 30W</t>
  </si>
  <si>
    <t>StrongLumio napájací zdroj pre LED 12V, 30W</t>
  </si>
  <si>
    <t>StrongLumio tápegység, 12V, 30W</t>
  </si>
  <si>
    <t>StrongLumio zasilacz do LED 12V, 30W</t>
  </si>
  <si>
    <t>StrongLumio napájecí zdroj pro LED 12V, 48W</t>
  </si>
  <si>
    <t>StrongLumio napájací zdroj pre LED 12V, 48W</t>
  </si>
  <si>
    <t>StrongLumio tápegység, 12V, 48W</t>
  </si>
  <si>
    <t>StrongLumio zasilacz do LED 12V, 48W</t>
  </si>
  <si>
    <t>StrongLumio napájecí zdroj pro LED 12V, 6W do zásuvky</t>
  </si>
  <si>
    <t>StrongLumio napájací zdroj pre LED 12V, 6W do zásuvky</t>
  </si>
  <si>
    <t>StrongLumio tápegység, 12V, 6W</t>
  </si>
  <si>
    <t>StrongLumio zasilacz do LED 12V, 6W</t>
  </si>
  <si>
    <t>StrongLumio napájecí zdroj pro LED 12V, 80W</t>
  </si>
  <si>
    <t>StrongLumio napájací zdroj pre LED 12V, 80W</t>
  </si>
  <si>
    <t>StrongLumio tápegység, 12V, 80W</t>
  </si>
  <si>
    <t>StrongLumio zasilacz do LED 12V, 80W</t>
  </si>
  <si>
    <t>StrongLumio napájecí zdroj pro LED 24V - 24W do zásuvky</t>
  </si>
  <si>
    <t>StrongLumio napájací zdroj pre LED 24V – 24W do zásuvky</t>
  </si>
  <si>
    <t>StrongLumio tápegység LED-hez 24V – 24W, konnektorba</t>
  </si>
  <si>
    <t>StrongLumio zasilacz do LED 24V – 24W do gniazdka</t>
  </si>
  <si>
    <t>StrongLumio napájecí zdroj pro LED 24V - 36W do zásuvky</t>
  </si>
  <si>
    <t>StrongLumio napájací zdroj pre LED 24V - 36W do zásuvky</t>
  </si>
  <si>
    <t>StrongLumio tápegység LED-hez 24V - 36W, konnektorba</t>
  </si>
  <si>
    <t>StrongLumio zasilacz do LED 24V - 36W do gniazdka</t>
  </si>
  <si>
    <t>StrongLumio napájecí zdroj pro LED 24V 75W Jack/6xMINI</t>
  </si>
  <si>
    <t>StrongLumio napájací zdroj pre LED 24V 75W Jack/6xMINI</t>
  </si>
  <si>
    <t>StrongLumio tápegység, 24V, 75W, Jack/6xMINI konektor</t>
  </si>
  <si>
    <t>StrongLumio zasilacz do LED 24V 75W Jack/6xMINI</t>
  </si>
  <si>
    <t>StrongLumio napájecí zdroj pro LED 24V, 120W</t>
  </si>
  <si>
    <t>StrongLumio napájací zdroj pre LED 24V, 120W</t>
  </si>
  <si>
    <t>StrongLumio tápegység, 24V, 120W</t>
  </si>
  <si>
    <t>StrongLumio zasilacz do LED 24V, 120W</t>
  </si>
  <si>
    <t>StrongLumio napájecí zdroj pro LED 24V, 18W</t>
  </si>
  <si>
    <t>StrongLumio napájací zdroj pre LED 24V, 18W</t>
  </si>
  <si>
    <t>StrongLumio tápegység, 24V, 18W</t>
  </si>
  <si>
    <t>StrongLumio zasilacz do LED 24V, 18W</t>
  </si>
  <si>
    <t>StrongLumio napájecí zdroj pro LED 24V, 30W</t>
  </si>
  <si>
    <t>StrongLumio napájací zdroj pre LED 24V, 30W</t>
  </si>
  <si>
    <t>StrongLumio tápegység, 24V, 30W</t>
  </si>
  <si>
    <t>StrongLumio zasilacz do LED 24V, 30W</t>
  </si>
  <si>
    <t>StrongLumio napájecí zdroj pro LED 24V, 60W</t>
  </si>
  <si>
    <t>StrongLumio napájací zdroj pre LED 24V, 60W</t>
  </si>
  <si>
    <t>StrongLumio tápegység, 24V, 60W</t>
  </si>
  <si>
    <t>StrongLumio zasilacz do LED 24V, 60W</t>
  </si>
  <si>
    <t>StrongLumio napájecí zdroj pro LED 24V, 80W</t>
  </si>
  <si>
    <t>StrongLumio napájací zdroj pre LED 24V, 80W</t>
  </si>
  <si>
    <t>StrongLumio tápegység, 24V, 80W</t>
  </si>
  <si>
    <t>StrongLumio zasilacz do LED 24V, 80W</t>
  </si>
  <si>
    <t>StrongLumio nástěnný ovladač LED - CCT</t>
  </si>
  <si>
    <t>StrongLumio Nástenný ovládač LED - CCT</t>
  </si>
  <si>
    <t>StrongLumio LED fali távirányító - CCT</t>
  </si>
  <si>
    <t>StrongLumio sterownik naścienny LED - CCT</t>
  </si>
  <si>
    <t>StrongLumio nástěnný ovladač LED - RGB</t>
  </si>
  <si>
    <t>StrongLumio Nástenný ovládač LED - RGB</t>
  </si>
  <si>
    <t>StrongLumio LED fali távirányító - RGB</t>
  </si>
  <si>
    <t>StrongLumio sterownik ścienny LED - RGB</t>
  </si>
  <si>
    <t>StrongLumio nástěnný ovladač LED - RGBW</t>
  </si>
  <si>
    <t>StrongLumio Nástenný ovládač LED - RGBW</t>
  </si>
  <si>
    <t>StrongLumio LED fali távirányító - RGBW</t>
  </si>
  <si>
    <t>StrongLumio sterownik ścienny LED - RGBW</t>
  </si>
  <si>
    <t>StrongLumio nástěnný ovladač LED - stmívač</t>
  </si>
  <si>
    <t>StrongLumio Nástenný ovládač LED - stmievač</t>
  </si>
  <si>
    <t>StrongLumio LED fali távirányító - Dimmer</t>
  </si>
  <si>
    <t>StrongLumio sterownik ścienny LED - ściemniacz</t>
  </si>
  <si>
    <t>StrongLumio plochý CCT kabel (trojlinka)</t>
  </si>
  <si>
    <t>StrongLumio plochý CCT Kábel (trojlinka)</t>
  </si>
  <si>
    <t>StrongLumio CCT LED lapos kábel, 3x0,35</t>
  </si>
  <si>
    <t>StrongLumio kabel trzyżyłowy CCT plochý 3x0,35</t>
  </si>
  <si>
    <t>StrongLumio plochý RGB kabel (čtyřlinka)</t>
  </si>
  <si>
    <t>StrongLumio plochý RGB Kábel (štvorlinka)</t>
  </si>
  <si>
    <t>StrongLumio RGB LED lapos kábel, 4x0,35</t>
  </si>
  <si>
    <t>StrongLumio płaski RGB kabel</t>
  </si>
  <si>
    <t>StrongLumio plochý RGBCCT kabel (šestilinka)</t>
  </si>
  <si>
    <t>StrongLumio plochý RGBCCT Kábel (šesťlinka)</t>
  </si>
  <si>
    <t>StrongLumio RGBCCT LED lapos kábel, 6x0,30</t>
  </si>
  <si>
    <t>StrongLumio płaski kabel RGBCCT</t>
  </si>
  <si>
    <t>StrongLumio plochý RGBW kabel (pětilinka)</t>
  </si>
  <si>
    <t>StrongLumio plochý RGBW Kábel (päťlinka)</t>
  </si>
  <si>
    <t>StrongLumio RGBW LED lapos kábel, 5x0,30</t>
  </si>
  <si>
    <t>StrongLumio płaski RGBW kabel</t>
  </si>
  <si>
    <t>StrongLumio podpovrchový vypínač/stmívač 12-24V - 3PIN</t>
  </si>
  <si>
    <t>StrongLumio podpovrchový vypínač/stmievač 12-24V - 3PIN</t>
  </si>
  <si>
    <t>StrongLumio felszín alatti kapcsoló/szabályozó 12-24V - 3PIN</t>
  </si>
  <si>
    <t>StrongLumio wyłącznik/ściemniacz podpowierzchniowy 12-24V - 3PIN</t>
  </si>
  <si>
    <t>StrongLumio podpovrchový vypínač/stmívač 12-24V, 4A konektory Mini, bílá</t>
  </si>
  <si>
    <t>StrongLumio podpovrchový vypínač/stmievač 12-24V, 4A konektory Mini, biela</t>
  </si>
  <si>
    <t>StrongLumio rejtett kapcsoló/fényerőszabályozó 12-24V 4A fehér Mini csatlakozók</t>
  </si>
  <si>
    <t>StrongLumio pojemnościowy wyłacznik/ściemniacz 12-24V, 4A konektory Mini, biały</t>
  </si>
  <si>
    <t>StrongLumio pohybový senzor do profilu, 12-24V, 8A</t>
  </si>
  <si>
    <t>StrongLumio mozgásérzékelő LED profilba, 12-24V, 8A</t>
  </si>
  <si>
    <t>StrongLumio wyłącznik do profilu 12-24V, 8A</t>
  </si>
  <si>
    <t>StrongLumio pohybový vypínač PIR k zafrézování, 12-24V 4A Mini</t>
  </si>
  <si>
    <t>StrongLumio pohybový vypínač PIR k zafrézovaniu, 12-24V 4A Mini</t>
  </si>
  <si>
    <t>StrongLumio mozgásérzékelő kapcsoló, PIR, 12-24V, 4A, Mini csatlakozó, bemarható</t>
  </si>
  <si>
    <t>StrongLumio czujnik ruchu PIR do frezowania, 12-24 V 4 A Mini</t>
  </si>
  <si>
    <t>StrongLumio pohybový vypínač PIR, 12-24V 4A Mini</t>
  </si>
  <si>
    <t>StrongLumio mozgásérzékelő kapcsoló, PIR, 12-24V, 4A, Mini csatlakozó</t>
  </si>
  <si>
    <t>StrongLumio czujnik ruchu PIR 12-24V 4A Mini</t>
  </si>
  <si>
    <t>StrongLumio povrchový vypínač/stmívač 12-24V, 4A konektory Mini, bílá</t>
  </si>
  <si>
    <t>StrongLumio povrchový vypínač/stmievač 12-24V, 4A konektory Mini, biela</t>
  </si>
  <si>
    <t>StrongLumio érintős kapcsoló/fényerő szabályozó, 12-24V, 4A, fehér</t>
  </si>
  <si>
    <t>StrongLumio nawierzchniowy wyłacznik/ściemniacz 12-24V, 4A konektory Mini, biały</t>
  </si>
  <si>
    <t>StrongLumio povrchový vypínač/stmívač 12-24V, 4A konektory Mini, černá</t>
  </si>
  <si>
    <t>StrongLumio povrchový vypínač/stmievač 12-24V, 4A konektory Mini, čierna</t>
  </si>
  <si>
    <t>StrongLumio érintős kapcsoló/fényerő szabályozó, 12-24V, 4A, fekete</t>
  </si>
  <si>
    <t>StrongLumio nawierzchniowy wyłacznik/ściemniacz 12-24V, 4A konektory Mini,czarny</t>
  </si>
  <si>
    <t>StrongLumio povrchový vypínač/stmívač 12-24V, 4A konektory Mini, stříbrná</t>
  </si>
  <si>
    <t>StrongLumio povrchový vypínač/stmievač 12-24V, 4A konektory Mini, strieborná</t>
  </si>
  <si>
    <t>StrongLumio érintős kapcsoló/fényerő szabályozó, 12-24V, 4A, ezüst</t>
  </si>
  <si>
    <t>StrongLumio nawierzchniowy wył./ściemniacz 12-24V, 4A konektory Mini, srebrny</t>
  </si>
  <si>
    <t>StrongLumio Power dálkový ovladač/stmívač 1x25A</t>
  </si>
  <si>
    <t>StrongLumio Power diaľkový ovládač/stmievač 1x25A</t>
  </si>
  <si>
    <t>STRONG Power távirányitó/fényerő szabályozó 1x25A</t>
  </si>
  <si>
    <t>StrongLumio Power pilot/ściemniacz 1x25A</t>
  </si>
  <si>
    <t>StrongLumio prodlužovací kabel 2m, pro dveřní senzor 342519 a 342520</t>
  </si>
  <si>
    <t>StrongLumio predlžovací kábel 2m, pre dverný senzor 342519 a 342520</t>
  </si>
  <si>
    <t>STRONG hosszabbító kábel 2m ajtó érzékelőhöz 342519 és 342520</t>
  </si>
  <si>
    <t>StrongLumio przedłużacz 2m, do czujnika drzwiowego 342519 i 342520</t>
  </si>
  <si>
    <t>StrongLumio prodlužovací kabel MINI-MINI 3m (Tech)</t>
  </si>
  <si>
    <t>StrongLumio predlžovací kábel MINI-MINI 3m (Tech)</t>
  </si>
  <si>
    <t>StrongLumio hosszabbító kábel MINI-MINI 3m (Tech)</t>
  </si>
  <si>
    <t>StrongLumio przedłużacz AMP-AMP 3m (Tech)</t>
  </si>
  <si>
    <t>StrongLumio prodlužovací kabel pro 3PIN vypínače 2m</t>
  </si>
  <si>
    <t>StrongLumio predlžovací kábel pre 3PIN vypínače 2m</t>
  </si>
  <si>
    <t>STRONG hosszabbító kábel 3PIN kapcsolóhoz 2m</t>
  </si>
  <si>
    <t>StrongLumio przedłużacz do 3PIN przełączników  2m</t>
  </si>
  <si>
    <t>StrongLumio prodlužovací kabel, 1,8m Mini konektor</t>
  </si>
  <si>
    <t>StrongLumio predlžovací kábel, 1,8m Mini konektor</t>
  </si>
  <si>
    <t>StrongLumio hosszabító kábel, Mini csatlakozó, 1,8m</t>
  </si>
  <si>
    <t>StrongLumio przedłużacz Mini-Mini 1,8m</t>
  </si>
  <si>
    <t>StrongLumio profil Arc 12, 2000mm stříbrná surová</t>
  </si>
  <si>
    <t>StrongLumio profil Arc 12, 2000mm strieborná surová</t>
  </si>
  <si>
    <t>StrongLumio LED profil Arc 12, natúr alumínium, 2m</t>
  </si>
  <si>
    <t>StrongLumio profil Arc 12, 2000mm (surowy alu)</t>
  </si>
  <si>
    <t>StrongLumio profil led Arbona, 2000mm stříbrná elox</t>
  </si>
  <si>
    <t>StrongLumio profil LED Arbona, 2000mm strieborná elox</t>
  </si>
  <si>
    <t>STRONG LED profil Arbona 2m ezüst elox</t>
  </si>
  <si>
    <t>StrongLumio LED profil Arbona, 2000mm srebrny elox</t>
  </si>
  <si>
    <t>StrongLumio profil LED Back 10 alu surový 2000mm</t>
  </si>
  <si>
    <t>StrongLumio LED profil Back, natúr alumínium, 2m</t>
  </si>
  <si>
    <t>StrongLumio profil LED Back alu surowy 2000mm</t>
  </si>
  <si>
    <t>StrongLumio profil LED Begtin 12 alu černá 3000mm</t>
  </si>
  <si>
    <t>StrongLumio profil LED Begtin 12 alu čierna 3000mm</t>
  </si>
  <si>
    <t>StrongLumio LED profil Begtin, fekete, 3m</t>
  </si>
  <si>
    <t>StrongLumio profil LED Begtin 12 alu czarny 3000mm</t>
  </si>
  <si>
    <t>StrongLumio profil LED Begtin 12 alu černá 4050mm</t>
  </si>
  <si>
    <t>StrongLumio profil LED Begtin 12 alu čierna 4050mm</t>
  </si>
  <si>
    <t>StrongLumio LED profil Begtin, fekete, 4,05m</t>
  </si>
  <si>
    <t>StrongLumio profil LED Begtin 12 alu czarny 4050mm</t>
  </si>
  <si>
    <t>StrongLumio profil LED Begtin 12, 2000mm bílá lak</t>
  </si>
  <si>
    <t>StrongLumio profil LED Begtin 12, 2000mm biela lak</t>
  </si>
  <si>
    <t>StrongLumio LED profil Begtin, fehér, 2m</t>
  </si>
  <si>
    <t>StrongLumio profil LED Begtin 12, 2000mm biały lakier</t>
  </si>
  <si>
    <t>StrongLumio profil LED Begtin 12, 2000mm černá elox</t>
  </si>
  <si>
    <t>StrongLumio profil LED Begtin 12, 2000mm čierna elox</t>
  </si>
  <si>
    <t>StrongLumio LED profil Begtin, fekete, 2m</t>
  </si>
  <si>
    <t>StrongLumio profil LED Begtin 12, 2000mm czarny anodowany</t>
  </si>
  <si>
    <t>StrongLumio profil LED Begtin 12, 2000mm stříbrná elox</t>
  </si>
  <si>
    <t>StrongLumio profil LED Begtin 12, 2000mm strieborná elox</t>
  </si>
  <si>
    <t>StrongLumio LED profil Begtin, eloxált alumínium, 2m</t>
  </si>
  <si>
    <t>StrongLumio profil LED Begtin 12, 2000mm srebrny anodowany</t>
  </si>
  <si>
    <t>StrongLumio profil LED Begtin 12, 3000mm stříbrná elox</t>
  </si>
  <si>
    <t>StrongLumio profil LED Begtin 12, 3000mm strieborná elox</t>
  </si>
  <si>
    <t>StrongLumio LED profil Begtin, eloxált alumínium, 3m</t>
  </si>
  <si>
    <t>StrongLumio profil LED Begtin 12, 3000mm srebrny anodowany</t>
  </si>
  <si>
    <t>StrongLumio profil LED Begton 12 alu anodovaný 4050mm</t>
  </si>
  <si>
    <t>StrongLumio profil LED Begton 12 alu elox 4050mm</t>
  </si>
  <si>
    <t>StrongLumio profil LED Begton 12 alu černá 3000mm</t>
  </si>
  <si>
    <t>StrongLumio profil LED Begton 12 alu čierna 3000mm</t>
  </si>
  <si>
    <t>StrongLumio LED profil Begton 12, fekete, 3m</t>
  </si>
  <si>
    <t>StrongLumio profil LED Begton 12 alu czarny 3000 mm</t>
  </si>
  <si>
    <t>StrongLumio profil LED Begton 12 alu černá 4050mm</t>
  </si>
  <si>
    <t>StrongLumio profil LED Begton 12 alu čierna 4050mm</t>
  </si>
  <si>
    <t>StrongLumio LED profil Begton 12, fekete, 4,05m</t>
  </si>
  <si>
    <t>StrongLumio profil LED Begton 12 alu czarny 4050 mm</t>
  </si>
  <si>
    <t>StrongLumio profil LED Begton 12 alu surový 2000mm</t>
  </si>
  <si>
    <t>StrongLumio LED profil Begton 12,  alumínium, 2m</t>
  </si>
  <si>
    <t>StrongLumio profil LED Begton 12 surowe aluminium 2000mm</t>
  </si>
  <si>
    <t>StrongLumio profil LED Begton 12, 2000mm bílá lak</t>
  </si>
  <si>
    <t>StrongLumio profil LED Begton 12, 2000mm biela lak</t>
  </si>
  <si>
    <t>StrongLumio LED profil Begton 12, fehér, 2m</t>
  </si>
  <si>
    <t>StrongLumio profil LED Begton 12, 2000mm biały lakier</t>
  </si>
  <si>
    <t>StrongLumio profil LED Begton 12, 2000mm černá elox</t>
  </si>
  <si>
    <t>StrongLumio profil LED Begton 12, 2000mm čierna elox</t>
  </si>
  <si>
    <t>StrongLumio LED profil Begton 12, fekete, 2m</t>
  </si>
  <si>
    <t>StrongLumio profil LED Begton 12, 2000mm czarny anodowany</t>
  </si>
  <si>
    <t>StrongLumio profil LED Begton 12, 2000mm stříbrná elox</t>
  </si>
  <si>
    <t>StrongLumio profil LED Begton 12, 2000mm strieborná elox</t>
  </si>
  <si>
    <t>StrongLumio LED profil Begton 12, eloxált alumínium, 2m</t>
  </si>
  <si>
    <t>StrongLumio profil LED Begton 12, 2000mm srebrny anodowany</t>
  </si>
  <si>
    <t>StrongLumio profil LED Begton 12, 3000mm stříbrná elox</t>
  </si>
  <si>
    <t>StrongLumio profil LED Begton 12, 3000mm strieborná elox</t>
  </si>
  <si>
    <t>StrongLumio LED profil Begton 12, eloxált alumínium, 3m</t>
  </si>
  <si>
    <t>StrongLumio profil LED Begton 12, 3000mm srebrny anodowany</t>
  </si>
  <si>
    <t>StrongLumio profil led Belcore, 2000mm stříbrná elox</t>
  </si>
  <si>
    <t>StrongLumio profil LED Belcore, 2000mm strieborná elox</t>
  </si>
  <si>
    <t>STRONG LED profil Belcore 2m ezüst elox</t>
  </si>
  <si>
    <t>StrongLumio profil LED Belcore, 2000mm srebrny anodowany</t>
  </si>
  <si>
    <t>StrongLumio profil LED Cabi 12 alu anodovaný 2000mm</t>
  </si>
  <si>
    <t>StrongLumio LED profil Cabi, eloxált alumínium, 2m</t>
  </si>
  <si>
    <t>StrongLumio profil LED Cabi aluminuim anodowane 2000mm</t>
  </si>
  <si>
    <t>StrongLumio profil LED Cabi 12 E alu anodovaný 3000mm</t>
  </si>
  <si>
    <t>TM-profil LED Cabi12 E eloxált alumínium 3000mm</t>
  </si>
  <si>
    <t>StrongLumio profil LED Cabi12 E alu anodowany 3000mm</t>
  </si>
  <si>
    <t>StrongLumio profil LED Cabi 12 E alu anodovaný 4050mm</t>
  </si>
  <si>
    <t>TM-profil LED Cabi12 E eloxált alumínium 4050mm</t>
  </si>
  <si>
    <t>StrongLumio profil LED Cabi12 E alu anodowany 4050mm</t>
  </si>
  <si>
    <t>StrongLumio profil LED Cabi 12 E alu bílá 2000mm</t>
  </si>
  <si>
    <t>StrongLumio profil LED Cabi 12 E alu biely 2000mm</t>
  </si>
  <si>
    <t>StrongLumio LED profil Cabi12 E, fehér, 2m</t>
  </si>
  <si>
    <t>StrongLumio profil LED Cabi 12 E aluminium biały 2000 mm</t>
  </si>
  <si>
    <t>StrongLumio profil LED Cabi 12 E alu bílá 3000mm</t>
  </si>
  <si>
    <t>StrongLumio profil led Cabi 12 E alu biely 3000mm</t>
  </si>
  <si>
    <t>StrongLumio LED profil Cabi12 E, fehér, 3m</t>
  </si>
  <si>
    <t>StrongLumio profil LED Cabi12 E alu biały 3000mm</t>
  </si>
  <si>
    <t>StrongLumio profil LED Cabi 12 E alu bílý 4050mm</t>
  </si>
  <si>
    <t>StrongLumio profil LED Cabi 12 E alu biely 4050mm</t>
  </si>
  <si>
    <t>TM-profil LED Cabi12 E fehér alumínium 4050mm</t>
  </si>
  <si>
    <t>StrongLumio profil LED Cabi12 E białe aluminium 4050mm</t>
  </si>
  <si>
    <t>StrongLumio profil LED Cabi 12 E alu černý 2000mm</t>
  </si>
  <si>
    <t>StrongLumio profil LED Cabi 12 E alu čierny 2000mm</t>
  </si>
  <si>
    <t>TM-profil LED Cabi12 E alu fekete 2000mm</t>
  </si>
  <si>
    <t>StrongLumio profil LED Cabi12 E alu czarny 2000mm</t>
  </si>
  <si>
    <t>StrongLumio profil LED Cabi 12 E alu černý 3000mm</t>
  </si>
  <si>
    <t>StrongLumio profil LED Cabi 12 E alu čierny 3000mm</t>
  </si>
  <si>
    <t>TM-profil LED Cabi12 E alu fekete 3000mm</t>
  </si>
  <si>
    <t>StrongLumio profil LED Cabi12 E czarne aluminium 3000mm</t>
  </si>
  <si>
    <t>StrongLumio profil LED Cabi 12 E alu černý 4050mm</t>
  </si>
  <si>
    <t>StrongLumio profil LED Cabi 12 E alu čierny 4050mm</t>
  </si>
  <si>
    <t>TM-profil LED Cabi12 E alu fekete 4050mm</t>
  </si>
  <si>
    <t>StrongLumio profil LED Cabi12 E alu czarny 4050mm</t>
  </si>
  <si>
    <t>StrongLumio profil LED Cabi 12 E, 2000mm stříbrná elox</t>
  </si>
  <si>
    <t>StrongLumio profil LED Cabi 12 E, 2000mm strieborná elox</t>
  </si>
  <si>
    <t>StrongLumio LED profil Cabi12 E, eloxált alumínium, 2m</t>
  </si>
  <si>
    <t>StrongLumio profil LED Cabi 12 E, 2000mm alu anodowane</t>
  </si>
  <si>
    <t>StrongLumio profil LED Corner 10, 1000mm bílá lak</t>
  </si>
  <si>
    <t>StrongLumio profil LED Corner 10, 1000mm biela lak</t>
  </si>
  <si>
    <t>StrongLumio LED profil Corner 10 fehér alu 1000mm</t>
  </si>
  <si>
    <t>StrongLumio profil LED Corner 10, 1000mm biały lakier</t>
  </si>
  <si>
    <t>StrongLumio profil LED Corner 10, 1000mm černá elox</t>
  </si>
  <si>
    <t>StrongLumio profil LED Corner 10, 1000mm čierna elox</t>
  </si>
  <si>
    <t>StrongLumio LED profil Corner 10 fekete alu 1000mm</t>
  </si>
  <si>
    <t>StrongLumio profil LED Corner 10, 1000mm czarny anodowany</t>
  </si>
  <si>
    <t>StrongLumio profil LED Corner 10, 1000mm stříbrná elox</t>
  </si>
  <si>
    <t>StrongLumio profil LED Corner 10 1000mm, strieborná elox</t>
  </si>
  <si>
    <t>StrongLumio LED profil Corner 10 eloxált alu 1000mm</t>
  </si>
  <si>
    <t>StrongLumio profil LED Corner 10, 1000mm srebrny anodowany</t>
  </si>
  <si>
    <t>StrongLumio profil LED Corner 10, 2000mm bílá lak</t>
  </si>
  <si>
    <t>StrongLumio profil LED Corner 10, 2000mm biela lak</t>
  </si>
  <si>
    <t>StrongLumio LED profil Corner 10 fehér alu 2000mm</t>
  </si>
  <si>
    <t>StrongLumio profil LED Corner 10, 2000mm biały lakier</t>
  </si>
  <si>
    <t>StrongLumio profil LED Corner 10, 2000mm černá elox</t>
  </si>
  <si>
    <t>StrongLumio profil LED Corner 10, 2000mm čierna elox</t>
  </si>
  <si>
    <t>StrongLumio LED profil Corner 10 fekete alu 2000mm</t>
  </si>
  <si>
    <t>StrongLumio profil LED Corner 10, 2000mm czarny andowany</t>
  </si>
  <si>
    <t>StrongLumio profil LED Corner 10, 2000mm stříbrná elox</t>
  </si>
  <si>
    <t>StrongLumio profil LED Corner 10, 2000mm, strieborná elox</t>
  </si>
  <si>
    <t>StrongLumio LED profil Corner 10 eloxált alu 2000mm</t>
  </si>
  <si>
    <t>StrongLumio profil LED Corner 10, 2000mm srebrny anodowany</t>
  </si>
  <si>
    <t>StrongLumio profil LED Corner 10, 3000mm bílá lak</t>
  </si>
  <si>
    <t>StrongLumio profil LED Corner 10, 3000mm biela lak</t>
  </si>
  <si>
    <t>StrongLumio LED profil Corner 10 fehér alu 3000mm</t>
  </si>
  <si>
    <t>StrongLumio profil LED Corner 10, 3000mm biały lakier</t>
  </si>
  <si>
    <t>StrongLumio profil LED Corner 10, 3000mm černá elox</t>
  </si>
  <si>
    <t>StrongLumio profil LED Corner 10, 3000mm čierny elox</t>
  </si>
  <si>
    <t>StrongLumio LED profil Corner 10 fekete alu 3000mm</t>
  </si>
  <si>
    <t>StrongLumio profil LED Corner 10, 3000mm czarny anodowany</t>
  </si>
  <si>
    <t>StrongLumio profil LED Corner 10, 3000mm stříbrná elox</t>
  </si>
  <si>
    <t>StrongLumio profil LED Corner 10, 3000mm strieborná elox</t>
  </si>
  <si>
    <t>StrongLumio LED profil Corner 10 eloxált alu 3000mm</t>
  </si>
  <si>
    <t>StrongLumio profil LED Corner 10, 3000mm srebrny anodowany</t>
  </si>
  <si>
    <t>StrongLumio profil LED Corner 10, 4050mm bílá lak</t>
  </si>
  <si>
    <t>StrongLumio profil LED Corner 10, 4050mm biela lak</t>
  </si>
  <si>
    <t>StrongLumio LED profil Corner 10 fehér alu 4050mm</t>
  </si>
  <si>
    <t>StrongLumio profil LED Corner 10, 4050mm biały lakier</t>
  </si>
  <si>
    <t>StrongLumio profil LED Corner 10, 4050mm černá elox</t>
  </si>
  <si>
    <t>StrongLumio profil LED Corner 10, 4050mm čierna elox</t>
  </si>
  <si>
    <t>StrongLumio LED profil Corner 10 fekete alu 4050mm</t>
  </si>
  <si>
    <t>StrongLumio profil LED Corner 10, 4050mm czarny anodowany</t>
  </si>
  <si>
    <t>StrongLumio profil LED Corner 10, 4050mm stříbrná elox</t>
  </si>
  <si>
    <t>StrongLumio profil LED Corner 10, 4050mm strieborná elox</t>
  </si>
  <si>
    <t>StrongLumio LED profil Corner 10 eloxált alu 4050mm</t>
  </si>
  <si>
    <t>StrongLumio profil LED Corner 10, 4050mm srebrny anodowany</t>
  </si>
  <si>
    <t>StrongLumio profil LED Corner 14 alu anodovaný 2000mm</t>
  </si>
  <si>
    <t>StrongLumio LED profil Corner 14 eloxált alu 2000mm</t>
  </si>
  <si>
    <t>StrongLumio profil LED Corner 14 alu anodowany 2000mm</t>
  </si>
  <si>
    <t>StrongLumio profil LED Corner 14 černý alu anodovaný 2000mm</t>
  </si>
  <si>
    <t>StrongLumio profil LED Corner 14 čierny alu anodovaný 2000mm</t>
  </si>
  <si>
    <t>StrongLumio LED profil Corner 14 fekete eloxált alu 2000mm</t>
  </si>
  <si>
    <t>StrongLumio profil LED Diagonal 10 alu anodovaný 2000mm</t>
  </si>
  <si>
    <t>StrongLumio LED profil Diagonal 10, eloxált alumínium, 2m</t>
  </si>
  <si>
    <t>StrongLumio profil LED Diagonal 10 alu anodowany 2000mm</t>
  </si>
  <si>
    <t>StrongLumio profil LED Diagonal 10 alu anodovaný 4050mm</t>
  </si>
  <si>
    <t>StrongLumio LED profil Diagonal 10, eloxált alumínium, 4,05m</t>
  </si>
  <si>
    <t>StrongLumio profil LED Diagonal 10 alu anodowany 4050mm</t>
  </si>
  <si>
    <t>StrongLumio profil LED Diagonal 10 alu bílý 2000mm</t>
  </si>
  <si>
    <t>StrongLumio profil LED Diagonal 10 alu biely 2000mm</t>
  </si>
  <si>
    <t>StrongLumio LED profil Diagonal 10, fehér alu, 2m</t>
  </si>
  <si>
    <t>StrongLumio profil LED Diagonal 10 alu biały 2000mm</t>
  </si>
  <si>
    <t>StrongLumio profil LED Diagonal 10 alu bílý 4050mm</t>
  </si>
  <si>
    <t>StrongLumio profil LED Diagonal 10 alu biely 4050mm</t>
  </si>
  <si>
    <t>StrongLumio LED profil Diagonal 10, fehér alu, 4,05m</t>
  </si>
  <si>
    <t>StrongLumio profil LED Diagonal 10 alu biały 4050mm</t>
  </si>
  <si>
    <t>StrongLumio profil LED Diagonal 10 alu černý 2000mm</t>
  </si>
  <si>
    <t>StrongLumio profil LED Diagonal 10 alu čierny 2000mm</t>
  </si>
  <si>
    <t>StrongLumio LED profil Diagonal 10, fekete alu 2000mm</t>
  </si>
  <si>
    <t>StrongLumio profil LED Diagonal 10 alu czarny 2000mm</t>
  </si>
  <si>
    <t>StrongLumio profil LED Diagonal 10 alu černý 4050mm</t>
  </si>
  <si>
    <t>StrongLumio profil LED Diagonal 10 alu čierny 4050mm</t>
  </si>
  <si>
    <t>StrongLumio LED profil Diagonal 10, fekete alu 4050mm</t>
  </si>
  <si>
    <t>StrongLumio profil LED Diagonal 10 alu czarny 4050mm</t>
  </si>
  <si>
    <t>StrongLumio profil LED Diagonal 14 2000mm bílá lak</t>
  </si>
  <si>
    <t>StrongLumio profil LED Diagonal 14, 2000mm biela lak</t>
  </si>
  <si>
    <t>TM-profil LED Átlós 14 alu fehér 2000mm</t>
  </si>
  <si>
    <t>StrongLumio profil LED Diagonal 14 2000mm biały anodowany</t>
  </si>
  <si>
    <t>StrongLumio profil LED Diagonal 14 2000mm černá elox</t>
  </si>
  <si>
    <t>StrongLumio profil LED Diagonal 14, 2000mm čierna elox</t>
  </si>
  <si>
    <t>StrongLumio LED profil Diagonal 14, fekete, 2m</t>
  </si>
  <si>
    <t>StrongLumio profil LED Diagonal 14 2000mm czarny anodowany</t>
  </si>
  <si>
    <t>StrongLumio profil LED Diagonal 14 2000mm stříbrná elox</t>
  </si>
  <si>
    <t>StrongLumio profil LED Diagonal 14, 2000mm strieborná elox</t>
  </si>
  <si>
    <t>StrongLumio LED profil Diagonal 14, eloxált alumínium, 2m</t>
  </si>
  <si>
    <t>StrongLumio profil LED Diagonal 14 2000mm srebrny anodowany</t>
  </si>
  <si>
    <t>StrongLumio profil LED Diagonal 14 3000mm černá elox</t>
  </si>
  <si>
    <t>StrongLumio profil LED Diagonal 14, 3000mm čierna elox</t>
  </si>
  <si>
    <t>StrongLumio LED profil Diagonal 14, fekete, 3m</t>
  </si>
  <si>
    <t>StrongLumio profil LED Diagonal 14 3000mm czarny anodowany</t>
  </si>
  <si>
    <t>StrongLumio profil LED Diagonal 14 3000mm stříbrná elox</t>
  </si>
  <si>
    <t>StrongLumio profil LED Diagonal 14, 3000mm strieborná elox</t>
  </si>
  <si>
    <t>StrongLumio LED profil Diagonal 14, eloxált alumínium, 3m</t>
  </si>
  <si>
    <t>StrongLumio profil LED Diagonal 14 3000mm srebrny anodowany</t>
  </si>
  <si>
    <t>StrongLumio profil LED Diagonal 14 alu anodovaný 1000mm</t>
  </si>
  <si>
    <t>TM-profil LED Diagonal 14 alu anodovaný 1000mm</t>
  </si>
  <si>
    <t>TM-profil LED Diagonal 14 eloxált alumínium 1000mm</t>
  </si>
  <si>
    <t>StrongLumio profil LED Diagonal 14 alu anodowany 1000mm</t>
  </si>
  <si>
    <t>StrongLumio profil LED Diagonal 14 alu anodovaný 4050mm</t>
  </si>
  <si>
    <t>StrongLumio-profil led Diagonal 14 alu anodovaný 4050mm</t>
  </si>
  <si>
    <t>TM-profil LED Diagonal 14 eloxált alumínium 4050mm</t>
  </si>
  <si>
    <t>StrongLumio profil LED Diagonal 14 alu anodowany 4050mm</t>
  </si>
  <si>
    <t>StrongLumio profil LED Diagonal 14 alu bílý 1000mm</t>
  </si>
  <si>
    <t>TM-profil LED Diagonal 14 alu biely 1000mm</t>
  </si>
  <si>
    <t>TM-profil LED Diagonal 14 alu fehér 1000mm</t>
  </si>
  <si>
    <t>StrongLumio profil LED Diagonal 14 alu bílý 3000mm</t>
  </si>
  <si>
    <t>TM-profil LED Diagonal 14 alu biely 3000mm</t>
  </si>
  <si>
    <t>StrongLumio LED profil Diagonal 14, fehér, 3m</t>
  </si>
  <si>
    <t>StrongLumio profil LED Diagonal 14  alu biały 3000mm</t>
  </si>
  <si>
    <t>StrongLumio profil LED Diagonal 14 alu bílý 4050mm</t>
  </si>
  <si>
    <t>StrongLumio-profil led Diagonal 14  alu biely 4050mm</t>
  </si>
  <si>
    <t>StrongLumio LED profil Diagonal 14, fehér, 4,05m</t>
  </si>
  <si>
    <t>StrongLumio profil LED Diagonal 14 alu černý 1000mm</t>
  </si>
  <si>
    <t>TM-profil LED Diagonal 14 alu čierny 1000mm</t>
  </si>
  <si>
    <t>TM-profil LED Diagonal 14 alu fekete 1000mm</t>
  </si>
  <si>
    <t>StrongLumio profil LED Diagonal 14 alu černý 4050mm</t>
  </si>
  <si>
    <t>StrongLumio-profil led Diagonal 14 alu čierny 4050mm</t>
  </si>
  <si>
    <t>TM-profil LED Diagonal 14 alu fekete 4050mm</t>
  </si>
  <si>
    <t>StrongLumio profil led Fanto, 2000mm stříbrná elox</t>
  </si>
  <si>
    <t>StrongLumio profil LED Fanto, 2000mm strieborná elox</t>
  </si>
  <si>
    <t>STRONG LED profil Fanto 2m ezüst elox</t>
  </si>
  <si>
    <t>StrongLumio profil LED Fanto, 2000mm srebrny anodowany</t>
  </si>
  <si>
    <t>StrongLumio profil LED Flat 8, 1000mm stříbrná elox</t>
  </si>
  <si>
    <t>StrongLumio profil LED Flat 8, 1000mm, strieborná elox</t>
  </si>
  <si>
    <t>StrongLumio LED profil Flat, eloxált alumínium, 1m</t>
  </si>
  <si>
    <t>StrongLumio profil LED Flat 8, 1000mm srebrny anodowany</t>
  </si>
  <si>
    <t>StrongLumio profil LED Flat 8, 2000mm stříbrná elox</t>
  </si>
  <si>
    <t>StrongLumio profil LED Flat 8, 2000mm, strieborná elox</t>
  </si>
  <si>
    <t>StrongLumio LED profil Flat, eloxált alumínium, 2m</t>
  </si>
  <si>
    <t>StrongLumio profil LED Flat 8, 2000mm srebrny anodowany</t>
  </si>
  <si>
    <t>StrongLumio profil LED Floor 12 alu anodovaný 3000mm</t>
  </si>
  <si>
    <t>TM-profil LED Floor alu anodovaný 3000mm</t>
  </si>
  <si>
    <t>StrongLumio LED profil Floor, eloxált alumínium, 3m</t>
  </si>
  <si>
    <t>StrongLumio profil LED Floor 12 anodowane aluminium 3000 mm</t>
  </si>
  <si>
    <t>StrongLumio profil LED Floor 12 alu anodovaný 4050mm</t>
  </si>
  <si>
    <t>TM-profil LED Floor alu anodovaný 4050mm</t>
  </si>
  <si>
    <t>StrongLumio LED profil Floor, eloxált alumínium, 4,05m</t>
  </si>
  <si>
    <t>StrongLumio profil LED Floor 12 alu elox 4050mm</t>
  </si>
  <si>
    <t>StrongLumio profil LED Floor 12, 2000mm stříbrná elox</t>
  </si>
  <si>
    <t>StrongLumio profil LED Floor 12, 2000mm strieborná elox</t>
  </si>
  <si>
    <t>StrongLumio LED profil Floor, eloxált alumínium, 2m</t>
  </si>
  <si>
    <t>StrongLumio profil LED Floor 12, 2000mm srebrny anodowany</t>
  </si>
  <si>
    <t>StrongLumio profil LED Floor 8 alu anodovaný 3000mm</t>
  </si>
  <si>
    <t>StrongLumio LED profil Floor 8, eloxált alumínium, 3m</t>
  </si>
  <si>
    <t>StrongLumio profil LED Floor 8 anodowane aluminium 3000mm</t>
  </si>
  <si>
    <t>StrongLumio profil LED Groove 10 gen.2 alu bílý 2000mm</t>
  </si>
  <si>
    <t>StrongLumio profil LED Groove 10 gen.2 alu biely 2000mm</t>
  </si>
  <si>
    <t>StrongLumio LED profil Groove 10 gen2 fehér alu 2000mm</t>
  </si>
  <si>
    <t>StrongLumio profil LED Groove 10 gen.2 alu biały 2000mm</t>
  </si>
  <si>
    <t>StrongLumio profil LED Groove 10 gen2 alu anodovaný 2000mm</t>
  </si>
  <si>
    <t>StrongLumio LED profil Groove 10 gen2 eloxált alu 2000mm</t>
  </si>
  <si>
    <t>StrongLumio profil LED Groove 10 gen2 alu anodowany 2000mm</t>
  </si>
  <si>
    <t>StrongLumio profil LED Groove 10 gen2 alu anodovaný 4050mm</t>
  </si>
  <si>
    <t>StrongLumio LED profil Groove 10 gen2 eloxált alu 4050mm</t>
  </si>
  <si>
    <t>StrongLumio profil LED Groove 10 gen2 alu anodowany 4050mm</t>
  </si>
  <si>
    <t>StrongLumio profil LED Groove 10, 1000mm bílá lak</t>
  </si>
  <si>
    <t>StrongLumio profil LED Groove 10, 1000mm biela lak</t>
  </si>
  <si>
    <t>StrongLumio LED profil Groove 10 fehér alu 1000mm</t>
  </si>
  <si>
    <t>StrongLumio profil LED Groove 10, 1000mm biały lakier</t>
  </si>
  <si>
    <t>StrongLumio profil LED Groove 10, 1000mm černá elox</t>
  </si>
  <si>
    <t>StrongLumio profil LED Groove 10, 1000mm čierna elox</t>
  </si>
  <si>
    <t>StrongLumio LED profil Groove 10 fekete alu 1000mm</t>
  </si>
  <si>
    <t>StrongLumio profil LED Groove 10, 1000mm czarny anodowany</t>
  </si>
  <si>
    <t>StrongLumio profil LED Groove 10, 1000mm stříbrná elox</t>
  </si>
  <si>
    <t>StrongLumio profil LED Groove 10, 1000mm, strieborná elox</t>
  </si>
  <si>
    <t>StrongLumio LED profil Groove 10 eloxált alu 1000mm</t>
  </si>
  <si>
    <t>StrongLumio profil LED Groove 10, 1000mm srebrny anodowany</t>
  </si>
  <si>
    <t>StrongLumio profil LED Groove 10, 2000mm bílá lak</t>
  </si>
  <si>
    <t>StrongLumio profil LED Groove 10, 2000mm, biela lak</t>
  </si>
  <si>
    <t>StrongLumio LED profil Groove 10 fehér alu 2000mm</t>
  </si>
  <si>
    <t>StrongLumio profil LED Groove 10, 2000mm biały lakier</t>
  </si>
  <si>
    <t>StrongLumio profil LED Groove 10, 2000mm černá elox</t>
  </si>
  <si>
    <t>StrongLumio profil LED Groove 10, 2000mm čierna elox</t>
  </si>
  <si>
    <t>StrongLumio LED profil Groove 10 fekete alu 2000mm</t>
  </si>
  <si>
    <t>Strong Lumio profil LED Groove 10, 2000mm czarny andowany</t>
  </si>
  <si>
    <t>StrongLumio profil LED Groove 10, 2000mm stříbrná elox</t>
  </si>
  <si>
    <t>StrongLumio profil LED Groove 10, 2000mm, strieborná elox</t>
  </si>
  <si>
    <t>StrongLumio LED profil Groove 10 eloxált alu 2000mm</t>
  </si>
  <si>
    <t>StrongLumio profil LED Groove 10, 2000mm srebrny anodowany</t>
  </si>
  <si>
    <t>StrongLumio profil LED Groove 10, 3000mm bílá lak</t>
  </si>
  <si>
    <t>StrongLumio profil LED Groove 10, 3000mm biela lak</t>
  </si>
  <si>
    <t>StrongLumio LED profil Groove 10 fehér alu 3000mm</t>
  </si>
  <si>
    <t>StrongLumio profil LED Groove 10, 3000mm biały lakier</t>
  </si>
  <si>
    <t>StrongLumio profil LED Groove 10, 3000mm černá elox</t>
  </si>
  <si>
    <t>StrongLumio profil LED Groove 10,  3000mm čierna elox</t>
  </si>
  <si>
    <t>StrongLumio LED profil Groove 10 fekete alu 3000mm</t>
  </si>
  <si>
    <t>StrongLumio profil LED Groove 10, 3000mm czarny anodowany</t>
  </si>
  <si>
    <t>StrongLumio profil LED Groove 10, 3000mm stříbrná elox</t>
  </si>
  <si>
    <t>StrongLumio profil LED Groove 10, 3000mm strieborná elox</t>
  </si>
  <si>
    <t>StrongLumio LED profil Groove 10 eloxált alu 3000mm</t>
  </si>
  <si>
    <t>StrongLumio profil LED Groove 10, 3000mm srebrny anodowany</t>
  </si>
  <si>
    <t>StrongLumio profil LED Groove 10, 4050mm bílá lak</t>
  </si>
  <si>
    <t>StrongLumio profil LED Groove 10, 4050mm biela lak</t>
  </si>
  <si>
    <t>StrongLumio LED profil Groove 10 fehér alu 4050mm</t>
  </si>
  <si>
    <t>StrongLumio profil LED Groove 10, 4050mm biały lakier</t>
  </si>
  <si>
    <t>StrongLumio profil LED Groove 10, 4050mm černá elox</t>
  </si>
  <si>
    <t>StrongLumio profil LED Groove 10, 4050mm čierna elox</t>
  </si>
  <si>
    <t>StrongLumio LED profil Groove 10 fekete alu 4050mm</t>
  </si>
  <si>
    <t>StrongLumio profil LED Groove 10, 4050mm czarny anodowany</t>
  </si>
  <si>
    <t>StrongLumio profil LED Groove 10, 4050mm stříbrná elox</t>
  </si>
  <si>
    <t>StrongLumio profil LED Groove 10, 4050mm strieborná elox</t>
  </si>
  <si>
    <t>StrongLumio LED profil Groove 10 eloxált alu 4050mm</t>
  </si>
  <si>
    <t>StrongLumio profil LED Groove 10, 4050mm srebrny anodowany</t>
  </si>
  <si>
    <t>StrongLumio profil LED Groove 14 alu anodovaný 2000mm</t>
  </si>
  <si>
    <t>StrongLumio LED profil Groove 14 eloxált alu 2000mm</t>
  </si>
  <si>
    <t>StrongLumio profil LED Groove 14 alu anodowany 2000mm</t>
  </si>
  <si>
    <t>StrongLumio profil LED HI 8, 2000mm stříbrná elox</t>
  </si>
  <si>
    <t>StrongLumio profil LED HI 8, 2000mm strieborná elox</t>
  </si>
  <si>
    <t>StrongLumio LED profil HI8, eloxált alumínium, 2m</t>
  </si>
  <si>
    <t>StrongLumio profil LED HI8, 2000mm alu anodowane</t>
  </si>
  <si>
    <t>StrongLumio profil LED HI 8, 3000mm stříbrná elox</t>
  </si>
  <si>
    <t>StrongLumio profil LED HI 8, 3000mm strieborná elox</t>
  </si>
  <si>
    <t>StrongLumio LED profil HI8, eloxált alumínium, 3m</t>
  </si>
  <si>
    <t>StrongLumio profil LED HI8, 3000mm alu anodowane</t>
  </si>
  <si>
    <t>StrongLumio profil LED HI 8, 4050mm stříbrná elox</t>
  </si>
  <si>
    <t>StrongLumio profil LED HI 8, 4050mm strieborná elox</t>
  </si>
  <si>
    <t>StrongLumio LED profil HI8, eloxált alumínium, 4,05m</t>
  </si>
  <si>
    <t>StrongLumio profil LED HI8, 4050mm alu anodowane</t>
  </si>
  <si>
    <t>StrongLumio profil LED Lucas narážecí, 2000mm bílá lak</t>
  </si>
  <si>
    <t>StrongLumio profil Lucas narážací, 2000mm biela lak</t>
  </si>
  <si>
    <t>StrongLumio LED profil Lucas, ráütéshez, fehér, 2m</t>
  </si>
  <si>
    <t>StrongLumio profil LED Lucas wciskany, 2000mm biały lakier</t>
  </si>
  <si>
    <t>StrongLumio profil LED Lucas narážecí, 2000mm černá elox</t>
  </si>
  <si>
    <t>StrongLumio profil Lucas narážací, 2000mm čierna elox</t>
  </si>
  <si>
    <t>StrongLumio LED profil Lucas, ráütéshez, fekete, 2m</t>
  </si>
  <si>
    <t>StrongLumio profil LED Lucas wciskany, 2000mm czarrny anodowany</t>
  </si>
  <si>
    <t>StrongLumio profil LED Lucas narážecí, 2000mm stříbrná elox</t>
  </si>
  <si>
    <t>StrongLumio profil Lucas narážací, 2000mm strieborná elox</t>
  </si>
  <si>
    <t>StrongLumio LED profil Lucas, ráütéshez, eloxált alumínium, 2m</t>
  </si>
  <si>
    <t>StrongLumio profil LED Lucas wciskany, 2000mm alu anodowany</t>
  </si>
  <si>
    <t>StrongLumio profil LED Maglyte-10 Angular, 2030mm, černá elox</t>
  </si>
  <si>
    <t>StrongLumio profil LED Maglyte-10 Angular, 2030mm, čierna elox</t>
  </si>
  <si>
    <t>StrongLumio profil LED Maglyte-10 Angular fekete alu 2030mm</t>
  </si>
  <si>
    <t>StrongLumio profil LED Maglyte-10 Angular, 2030mm, czarna anoda</t>
  </si>
  <si>
    <t>StrongLumio profil LED Maglyte-10 Angular, 2030mm, stříbrná elox</t>
  </si>
  <si>
    <t>StrongLumio profil LED Maglyte-10 Angular, 2030mm, strieborná elox</t>
  </si>
  <si>
    <t>StrongLumio profil LED Maglyte-10 Angular eloxált alu 2030mm</t>
  </si>
  <si>
    <t>StrongLumio profil LED Maglyte-10 Angular, 3030mm, černá elox</t>
  </si>
  <si>
    <t>StrongLumio profil LED Maglyte-10 Angular, 3030mm, čierna elox</t>
  </si>
  <si>
    <t>StrongLumio profil LED Maglyte-10 Angular fekete alu 3030mm</t>
  </si>
  <si>
    <t>StrongLumio profil LED Maglyte-10 Angular, 3030mm, stříbrná elox</t>
  </si>
  <si>
    <t>StrongLumio profil LED Maglyte-10 Angular, 3030mm, strieborná elox</t>
  </si>
  <si>
    <t>StrongLumio profil LED Maglyte-10 Angular eloxált alu 3030mm</t>
  </si>
  <si>
    <t>StrongLumio profil LED Maglyte-10 Angular, 3030mm, srebrna anoda</t>
  </si>
  <si>
    <t>StrongLumio profil LED Maglyte-10, 2030mm, černá elox</t>
  </si>
  <si>
    <t>StrongLumio profil LED Maglyte-10, 2030mm, čierna elox</t>
  </si>
  <si>
    <t>StrongLumio LED profil Maglyte-10 fekete alu 2030mm</t>
  </si>
  <si>
    <t>StrongLumio profil LED Maglyte-10, 2030mm, stříbrná elox</t>
  </si>
  <si>
    <t>StrongLumio profil LED Maglyte-10, 2030mm, strieborná elox</t>
  </si>
  <si>
    <t>StrongLumio LED profil Maglyte-10 eloxált alu 2030mm</t>
  </si>
  <si>
    <t>StrongLumio profil LED Maglyte-10, 3030mm, černá elox</t>
  </si>
  <si>
    <t>StrongLumio profil LED Maglyte-10, 3030mm, čierna elox</t>
  </si>
  <si>
    <t>StrongLumio LED profil Maglyte-10 fekete alu 3030mm</t>
  </si>
  <si>
    <t>StrongLumio profil LED Maglyte-10, 3030mm, stříbrná elox</t>
  </si>
  <si>
    <t>StrongLumio profil LED Maglyte-10, 3030mm, strieborná elox</t>
  </si>
  <si>
    <t>StrongLumio LED profil Maglyte-10 eloxált alu 3030mm</t>
  </si>
  <si>
    <t>StrongLumio profil LED Mikro 10 alu anodovaná 2000mm</t>
  </si>
  <si>
    <t>StrongLumio profil LED Mikro 10 alu anodovaná 2000 mm</t>
  </si>
  <si>
    <t>StrongLumio LED profil Mikro 10, eloxált alumínium, 2m</t>
  </si>
  <si>
    <t>StrongLumio profil LED Mikro 10 alu anodowany 2000mm</t>
  </si>
  <si>
    <t>StrongLumio profil LED Mikro-line 12 alu anodovaný 2000mm</t>
  </si>
  <si>
    <t>StrongLumio profil LED Mikro-line 12 alu anodovaný 2000 mm</t>
  </si>
  <si>
    <t>StrongLumio LED profil Mikro-line12, eloxált alumínium, 2m</t>
  </si>
  <si>
    <t>StrongLumio profil LED Mikro-line12 alu anodowany 2000mm</t>
  </si>
  <si>
    <t>StrongLumio profil led Ormio, 2000mm stříbrná elox</t>
  </si>
  <si>
    <t>StrongLumio profil LED Ormio, 2000mm strieborná elox</t>
  </si>
  <si>
    <t>STRONG LED profil Ormio 2m ezüst eloxált alumínium</t>
  </si>
  <si>
    <t>StrongLumio profil LED Ormio, 2000mm srebrny elox</t>
  </si>
  <si>
    <t>StrongLumio profil LED Pen 8 alu anodovaný 4050mm</t>
  </si>
  <si>
    <t>StrongLumio profil LED Pen 8 alu eloxovaný 4050mm</t>
  </si>
  <si>
    <t>StrongLumio LED profil Pen8, eloxált alumínium, 4,05m</t>
  </si>
  <si>
    <t>StrongLumio profil LED Pen8 alu anodowany 4050mm</t>
  </si>
  <si>
    <t>StrongLumio profil LED Pen 8, 1000mm stříbrná elox</t>
  </si>
  <si>
    <t>StrongLumio profil LED Pen 8, 1000mm strieborná elox</t>
  </si>
  <si>
    <t>StrongLumio LED profil Pen8, eloxált alumínium, 1m</t>
  </si>
  <si>
    <t>StrongLumio profil LED Pen 8, 1000mm srebrny anodowany</t>
  </si>
  <si>
    <t>StrongLumio profil LED Pen 8, 2000mm stříbrná elox</t>
  </si>
  <si>
    <t>StrongLumio profil LED Pen 8, 2000mm strieborná elox</t>
  </si>
  <si>
    <t>StrongLumio LED profil Pen8, eloxált alumínium, 2m</t>
  </si>
  <si>
    <t>StrongLumio profil LED Pen 8, 2000mm srebrny anodowany</t>
  </si>
  <si>
    <t>StrongLumio profil LED Rail, 2000mm stříbrná elox</t>
  </si>
  <si>
    <t>StrongLumio profil LED Rail,  2000mm strieborná elox</t>
  </si>
  <si>
    <t>STRONG LED profil Rail 2m ezüst elox</t>
  </si>
  <si>
    <t>StrongLumio LED profil Rail, 2000mm srebrny elox</t>
  </si>
  <si>
    <t>StrongLumio profil LED Slash 8 plast mléčný 4100mm</t>
  </si>
  <si>
    <t>StrongLumio profil LED Slash 8 plast mliečny 4100mm</t>
  </si>
  <si>
    <t>StrongLumio profil LED Slash8 műanyag tejes 4100mm</t>
  </si>
  <si>
    <t>StrongLumio profil LED Slash 8 plast mleczny 4100mm</t>
  </si>
  <si>
    <t>StrongLumio profil LED Slash 8, 1000mm plast mléčná</t>
  </si>
  <si>
    <t>StrongLumio profil LED Slash 8, 1000mm plast mliečna</t>
  </si>
  <si>
    <t>StrongLumio műanyag LED profil Slash8, tejfehér, 1m</t>
  </si>
  <si>
    <t>StrongLumio profil LED Slash 8, 1000mm plastikowy mleczny</t>
  </si>
  <si>
    <t>StrongLumio profil LED Slash 8, 2000mm plast mléčná</t>
  </si>
  <si>
    <t>StrongLumio profil LED Slash 8, 2000mm plast mliečna</t>
  </si>
  <si>
    <t>StrongLumio műanyag LED profil Slash8, tejfehér, 2m</t>
  </si>
  <si>
    <t>StrongLumio profil LED Slash 8, 2000mm plastikowy mleczny</t>
  </si>
  <si>
    <t>StrongLumio profil LED Slash 8, 3000mm plast mléčná</t>
  </si>
  <si>
    <t>StrongLumio profil LED Slash 8, 3000mm plast mliečna</t>
  </si>
  <si>
    <t>StrongLumio műanyag LED profil Slash8, tejfehér, 3m</t>
  </si>
  <si>
    <t>StrongLumio profil LED Slash 8, 3000mm plastikowy mleczny</t>
  </si>
  <si>
    <t>StrongLumio profil LED Slim 8 alu černá 3000mm</t>
  </si>
  <si>
    <t>StrongLumio profil LED Slim 8 alu čierny 3000mm</t>
  </si>
  <si>
    <t>StrongLumio profil LED Slim alu fekete 3000mm</t>
  </si>
  <si>
    <t>StrongLumio-profil LED Slim alu czarny 3000mm</t>
  </si>
  <si>
    <t>StrongLumio profil LED Slim 8 alu surový 3000mm</t>
  </si>
  <si>
    <t>StrongLumio LED profil Slim, alumínium, 3m</t>
  </si>
  <si>
    <t>StrongLumio profil LED Slim alu 3000mm</t>
  </si>
  <si>
    <t>StrongLumio profil LED Slim 8 alu surový 4050mm</t>
  </si>
  <si>
    <t>StrongLumio LED profil Slim, alumínium 4050mm</t>
  </si>
  <si>
    <t>StrongLumio profil LED Slim alu 4050mm</t>
  </si>
  <si>
    <t>StrongLumio profil LED Slim 8, 1000mm stříbrná elox</t>
  </si>
  <si>
    <t>StrongLumio profil LED Slim 8, 1000mm, strieborná elox</t>
  </si>
  <si>
    <t>StrongLumio LED profil Slim, eloxált alumínium, 1m</t>
  </si>
  <si>
    <t>StrongLumio profil LED Slim 8, 1000mm srebrny anodowany</t>
  </si>
  <si>
    <t>StrongLumio profil LED Slim 8, 2000mm bílá lak</t>
  </si>
  <si>
    <t>StrongLumio profil LED Slim 8, 2000mm biela lak</t>
  </si>
  <si>
    <t>StrongLumio LED profil Slim, fehér, 2m</t>
  </si>
  <si>
    <t>StrongLumio profil LED Slim 8, 2000mm biały lakier</t>
  </si>
  <si>
    <t>StrongLumio profil LED Slim 8, 2000mm černá elox</t>
  </si>
  <si>
    <t>StrongLumio profil LED Slim 8, 2000mm čierna elox</t>
  </si>
  <si>
    <t>StrongLumio LED profil Slim, fekete, 2m</t>
  </si>
  <si>
    <t>StrongLumio profil LED Slim 8, 2000mm czarny anodowany</t>
  </si>
  <si>
    <t>StrongLumio profil LED Slim 8, 2000mm stříbrná elox</t>
  </si>
  <si>
    <t>StrongLumio profil LED Slim 8, 2000mm, strieborná elox</t>
  </si>
  <si>
    <t>StrongLumio LED profil Slim, eloxált alumínium, 2m</t>
  </si>
  <si>
    <t>StrongLumio profil LED Slim 8, 2000mm srebrny anodowany</t>
  </si>
  <si>
    <t>StrongLumio profil LED Slim 8, 3000mm stříbrná elox</t>
  </si>
  <si>
    <t>StrongLumio profil LED Slim 8, 3000mm strieborná elox</t>
  </si>
  <si>
    <t>StrongLumio LED profil Slim, eloxált alumínium, 3m</t>
  </si>
  <si>
    <t>StrongLumio profil LED Slim 8, 3000mm srebrny anodowany</t>
  </si>
  <si>
    <t>StrongLumio profil LED Smart 10, 2000mm bílá lak</t>
  </si>
  <si>
    <t>StrongLumio profil LED Smart 10, 2000mm biela lak</t>
  </si>
  <si>
    <t>StrongLumio LED profil Smart, fehér, 2m</t>
  </si>
  <si>
    <t>StrongLumio profil LED Smart 10, 2000mm biały lakier</t>
  </si>
  <si>
    <t>StrongLumio profil LED Smart 10, 2000mm černá elox</t>
  </si>
  <si>
    <t>StrongLumio profil LED Smart 10, 2000mm čierna elox</t>
  </si>
  <si>
    <t>StrongLumio LED profil Smart, fekete, 2m</t>
  </si>
  <si>
    <t>StrongLumio profil LED Smart 10, 2000mm czarny anodowany</t>
  </si>
  <si>
    <t>StrongLumio profil LED Smart 10, 2000mm stříbrná elox</t>
  </si>
  <si>
    <t>StrongLumio profil LED Smart 10, 2000mm strieborná elox</t>
  </si>
  <si>
    <t>StrongLumio LED profil Smart 10, eloxált alumínium, 2m</t>
  </si>
  <si>
    <t>StrongLumio profil LED Smart 10, 2000mm srebrny anodowany</t>
  </si>
  <si>
    <t>StrongLumio profil LED Smart 10, 3000mm stříbrná elox</t>
  </si>
  <si>
    <t>StrongLumio profil LED Smart 10, 3000mm strieborná elox</t>
  </si>
  <si>
    <t>StrongLumio LED profil Smart, eloxált alumínium, 3m</t>
  </si>
  <si>
    <t>StrongLumio profil LED Smart 10, 3000mm srebrny anodowany</t>
  </si>
  <si>
    <t>StrongLumio profil LED Smart 16 alu anodovaný 1000mm</t>
  </si>
  <si>
    <t>StrongLumio profil LED Smart 16 alu anodizovaný 1000mm</t>
  </si>
  <si>
    <t>StrongLumio LED profil Smart16 alu eloxált 1000mm</t>
  </si>
  <si>
    <t>StrongLumio profil LED Smart 16 alu anodovaný 2000mm</t>
  </si>
  <si>
    <t>StrongLumio profil LED Smart 16 alu anodizovaný 2000mm</t>
  </si>
  <si>
    <t>StrongLumio LED profil Smart16 alu eloxált 2000mm</t>
  </si>
  <si>
    <t>StrongLumio profil LED Smart 16 alu bílý 1000mm</t>
  </si>
  <si>
    <t>StrongLumio profil LED Smart 16 alu biely 1000mm</t>
  </si>
  <si>
    <t>StrongLumio LED profil Smart16 alu fehér 1000mm</t>
  </si>
  <si>
    <t>StrongLumio profil LED Smart 16 alu bílý 2000mm</t>
  </si>
  <si>
    <t>StrongLumio profil LED Smart 16 alu biely 2000mm</t>
  </si>
  <si>
    <t>StrongLumio LED profil Smart16 alu fehér 2000mm</t>
  </si>
  <si>
    <t>StrongLumio profil LED Smart 16 alu černý 1000mm</t>
  </si>
  <si>
    <t>StrongLumio profil LED Smart 16 alu čierny 1000mm</t>
  </si>
  <si>
    <t>StrongLumio LED profil Smart16 alu fekete 1000mm</t>
  </si>
  <si>
    <t>StrongLumio profil LED Smart 16 alu černý 2000mm</t>
  </si>
  <si>
    <t>StrongLumio profil LED Smart 16 alu čierny 2000mm</t>
  </si>
  <si>
    <t>StrongLumio LED profil Smart16, fekete, 2m</t>
  </si>
  <si>
    <t>StrongLumio profil LED Smart-In 10 3000mm stříbrná elox</t>
  </si>
  <si>
    <t>StrongLumio profil LED Smart-In 10, 3000mm strieborná elox</t>
  </si>
  <si>
    <t>StrongLumio LED profil Smart-In10, eloxált alumínium, 3m</t>
  </si>
  <si>
    <t>StrongLumio profil LED Smart-In10 3000mm srebrny anodowany</t>
  </si>
  <si>
    <t>StrongLumio profil LED Smart-In 10, 2000mm stříbrná elox</t>
  </si>
  <si>
    <t>StrongLumio profil LED Smart-In 10, 2000mm strieborná elox</t>
  </si>
  <si>
    <t>TM-profil LED Smart-In10 eloxált alumínium 2000mm</t>
  </si>
  <si>
    <t>StrongLumio profil LED Smart-In10, 2000mm srebrny anodowany</t>
  </si>
  <si>
    <t>StrongLumio profil LED Smart-In 16 alu anodovaný 3000mm</t>
  </si>
  <si>
    <t>StrongLumio profil LED Smart-In 16 alu anodizovaný 3000mm</t>
  </si>
  <si>
    <t>StrongLumio LED profil Smart-In16 alu eloxált 3000mm</t>
  </si>
  <si>
    <t>StrongLumio profil LED Smart-In16 alu anodowany 3000mm</t>
  </si>
  <si>
    <t>StrongLumio profil LED Smart-In 16 alu bílý 3000mm</t>
  </si>
  <si>
    <t>StrongLumio profil LED Smart-In 16 alu biely 3000mm</t>
  </si>
  <si>
    <t>StrongLumio LED-profil Smart-In16 alu fehér 3000mm</t>
  </si>
  <si>
    <t>StrongLumio profil LED Smart-In16 alu biały 3000mm</t>
  </si>
  <si>
    <t>StrongLumio profil LED Smart-In 16 alu surový 3000mm</t>
  </si>
  <si>
    <t>StrongLumio LED-profil Smart-In16 alu nyers 3000mm</t>
  </si>
  <si>
    <t>StrongLumio profil LED Smart-In16 alu surowe 3000mm</t>
  </si>
  <si>
    <t>StrongLumio profil LED Surface 10, 1000mm bílá lak</t>
  </si>
  <si>
    <t>StrongLumio profil LED Surface 10, 1000mm biela lak</t>
  </si>
  <si>
    <t>StrongLumio LED profil Surface 10 fehér alu 1000mm</t>
  </si>
  <si>
    <t>StrongLumio profil LED Surface 10, 1000mm biały lakier</t>
  </si>
  <si>
    <t>StrongLumio profil LED Surface 10, 1000mm černá elox</t>
  </si>
  <si>
    <t>StrongLumio profil LED Surface 10, 1000mm čierna elox</t>
  </si>
  <si>
    <t>StrongLumio LED profil Surface 10 fekete alu 1000mm</t>
  </si>
  <si>
    <t>StrongLumio profil LED Surface 10, 1000mm czarny anodowany</t>
  </si>
  <si>
    <t>StrongLumio profil LED Surface 10, 1000mm stříbrná elox</t>
  </si>
  <si>
    <t>StrongLumio profil LED Surface 10, 1000mm, strieborná elox</t>
  </si>
  <si>
    <t>StrongLumio LED profil Surface 10 eloxált alu 1000mm</t>
  </si>
  <si>
    <t>StrongLumio profil LED Surface 10, 1000mm srebrny anodowany</t>
  </si>
  <si>
    <t>StrongLumio profil LED Surface 10, 2000mm bílá lak</t>
  </si>
  <si>
    <t>StrongLumio profil LED Surface 10, 2000mm biela lak</t>
  </si>
  <si>
    <t>StrongLumio LED profil Surface 10 fehér alu 2000mm</t>
  </si>
  <si>
    <t>StrongLumio profil LED Surface 10, 2000mm biały lakier</t>
  </si>
  <si>
    <t>StrongLumio profil LED Surface 10, 2000mm černá elox</t>
  </si>
  <si>
    <t>StrongLumio profil LED Surface 10, 2000mm čierna elox</t>
  </si>
  <si>
    <t>StrongLumio LED profil Surface 10 fekete alu 2000mm</t>
  </si>
  <si>
    <t>StrongLumio profil LED Surface 10, 2000mm czarny andowany</t>
  </si>
  <si>
    <t>StrongLumio profil LED Surface 10, 2000mm stříbrná elox</t>
  </si>
  <si>
    <t>StrongLumio profil LED Surface 10, 2000mm, strieborná elox</t>
  </si>
  <si>
    <t>StrongLumio LED profil Surface 10 eloxált alu 2000mm</t>
  </si>
  <si>
    <t>StrongLumio profil LED Surface 10, 2000mm srebrny anodowany</t>
  </si>
  <si>
    <t>StrongLumio profil LED Surface 10, 3000mm bílá lak</t>
  </si>
  <si>
    <t>StrongLumio profil LED Surface 10, 3000mm biela lak</t>
  </si>
  <si>
    <t>StrongLumio LED profil Surface 10 fehér alu 3000mm</t>
  </si>
  <si>
    <t>StrongLumio profil LED Surface 10, 3000mm biały lakier</t>
  </si>
  <si>
    <t>StrongLumio profil LED Surface 10, 3000mm černá elox</t>
  </si>
  <si>
    <t>StrongLumio profil LED Surface 10, 3000mm čierna elox</t>
  </si>
  <si>
    <t>StrongLumio LED profil Surface 10 fekete alu 3000mm</t>
  </si>
  <si>
    <t>StrongLumio profil LED Surface 10, 3000mm czarny anodowany</t>
  </si>
  <si>
    <t>StrongLumio profil LED Surface 10, 3000mm stříbrná elox</t>
  </si>
  <si>
    <t>StrongLumio profil LED Surface 10, 3000mm strieborná elox</t>
  </si>
  <si>
    <t>StrongLumio LED profil Surface 10 eloxált alu 3000mm</t>
  </si>
  <si>
    <t>StrongLumio profil LED Surface 10, 3000mm srebrny anodowany</t>
  </si>
  <si>
    <t>StrongLumio profil LED Surface 10, 4050mm bílá lak</t>
  </si>
  <si>
    <t>StrongLumio profil LED Surface 10, 4050mm biela lak</t>
  </si>
  <si>
    <t>StrongLumio LED profil Surface 10 fehér alu 4050mm</t>
  </si>
  <si>
    <t>StrongLumio profil LED Surface 10, 4050mm biały lakier</t>
  </si>
  <si>
    <t>StrongLumio profil LED Surface 10, 4050mm černá elox</t>
  </si>
  <si>
    <t>StrongLumio profil LED Surface 10, 4050mm čierna elox</t>
  </si>
  <si>
    <t>StrongLumio LED profil Surface 10 fekete alu 4050mm</t>
  </si>
  <si>
    <t>StrongLumio profil LED Surface 10, 4050mm czarny anodowany</t>
  </si>
  <si>
    <t>StrongLumio profil LED Surface 10, 4050mm stříbrná elox</t>
  </si>
  <si>
    <t>StrongLumio profil LED Surface 10, 4050mm strieborná elox</t>
  </si>
  <si>
    <t>StrongLumio LED profil Surface 10 eloxált alu 4050mm</t>
  </si>
  <si>
    <t>StrongLumio profil LED Surface 10, 4050mm srebrny anodowany</t>
  </si>
  <si>
    <t>StrongLumio profil LED Uni 12 alu anodovaný 1000mm</t>
  </si>
  <si>
    <t>StrogLumio profil LED Uni 12 alu anodovaný 1000mm</t>
  </si>
  <si>
    <t>StrongLumio LED profil Uni 12 alu eloxált 1000mm</t>
  </si>
  <si>
    <t>StrongLumio profil LED Uni12 alu anodowany 1000mm</t>
  </si>
  <si>
    <t>StrongLumio profil LED Uni 12 alu anodovaný 2000mm</t>
  </si>
  <si>
    <t>StrongLumio LED profil Uni12, eloxált alumínium, 2000 mm</t>
  </si>
  <si>
    <t>StrongLumio profil LED Uni12 alu anodowany 2000mm</t>
  </si>
  <si>
    <t>StrongLumio profil LED Vario 30-06 (2m) alu anodovaný</t>
  </si>
  <si>
    <t>StrongLumio profil LED Vario 30-06 (2m) alu anodizovaný</t>
  </si>
  <si>
    <t>StrongLumio LED-profil Vario30-06 (2m) eloxált alu</t>
  </si>
  <si>
    <t>StrongLumio profil LED Vario 30-06 (2m) aluminium anodowane</t>
  </si>
  <si>
    <t>StrongLumio profil LED Wide 24, 1000mm stříbrná elox</t>
  </si>
  <si>
    <t>StrongLumio profil LED Wide 24, 1000mm strieborná elox</t>
  </si>
  <si>
    <t>StrongLumio LED profil Wide 24, eloxált alumínium, 1000mm</t>
  </si>
  <si>
    <t>StrongLumio profil LED Wide 24, 1000mm srebrny anodowany</t>
  </si>
  <si>
    <t>StrongLumio profil LED Wide 24, 1000mm stříbrná surová</t>
  </si>
  <si>
    <t>StrongLumio profil LED Wide 24, 1000mm, mliečna</t>
  </si>
  <si>
    <t>StrongLumio LED profil Wide 24, natúr alumínium, 1m</t>
  </si>
  <si>
    <t>StrongLumio profil LED Wide 24, 1000mm srebrny surowy</t>
  </si>
  <si>
    <t>StrongLumio profil LED Wide 24, 2000mm stříbrná elox</t>
  </si>
  <si>
    <t>StrongLumio profil LED Wide 24, 2000 mm, strieborná elox</t>
  </si>
  <si>
    <t>StrongLumio LED profil Wide 24, eloxált alumínium, 2m</t>
  </si>
  <si>
    <t>StrongLumio profil LED Wide 24, 2000mm srebrny anodowany</t>
  </si>
  <si>
    <t>StrongLumio profil LED Wide 24, 2000mm stříbrná surová</t>
  </si>
  <si>
    <t>StrongLumio profil LED Wide 24, 2000mm, mliečna</t>
  </si>
  <si>
    <t>StrongLumio LED profil Wide 24, natúr alumínium, 2m</t>
  </si>
  <si>
    <t>StrongLumio profil LED Wide 24, 2000mm srebrny surowy</t>
  </si>
  <si>
    <t>StrongLumio profil Lucas narážecí 3950mm stříbrná elox</t>
  </si>
  <si>
    <t>StrongLumio profil Lucas narážací, 4000mm strieborná elox</t>
  </si>
  <si>
    <t>StrongLumio Lucas profil eloxált alumínium 3950mm</t>
  </si>
  <si>
    <t>StrongLumio profil Lucas wciskany 4000mm srebrny anodowany</t>
  </si>
  <si>
    <t>StrongLumio profil Lucas narážecí 4000mm bílá lak</t>
  </si>
  <si>
    <t>StrongLumio profil Lucas narážací, 4000mm biela lak</t>
  </si>
  <si>
    <t>StrongLumio Lucas profil fehér lakk 4000mm rápattintható</t>
  </si>
  <si>
    <t>StrongLumio profil Lucas wciskany 4000mm biały lakier</t>
  </si>
  <si>
    <t>StrongLumio profil Lucas narážecí 4000mm černá elox</t>
  </si>
  <si>
    <t>StrongLumio profil Lucas narážací, 4000mm čierna elox</t>
  </si>
  <si>
    <t>StrongLumio Lucas ráütődö profil fekete eloxált 4000mm</t>
  </si>
  <si>
    <t>StrongLumio profil Lucas wciskany 4000mm czarny anodowany</t>
  </si>
  <si>
    <t>StrongLumio profil Lucas narážecí 4050mm surový</t>
  </si>
  <si>
    <t>StrongLumio profil Lucas narážací 4050mm</t>
  </si>
  <si>
    <t>StrongLumio Lucas profil 4050mm</t>
  </si>
  <si>
    <t>StrongLumio profil Lucas 4050mm surowy</t>
  </si>
  <si>
    <t>StrongLumio profil Lucera narážecí, 2000mm bílá lak + těsnění</t>
  </si>
  <si>
    <t>StrongLumio profil Lucera narážací, 2000mm biela lak + tesnenie</t>
  </si>
  <si>
    <t>StrongLumio LED profil Lucera, ráütéshez, fehér, 2m</t>
  </si>
  <si>
    <t>StrongLumio profil Lucera nasuwany 2000mm, biały lakier  + uszczelka</t>
  </si>
  <si>
    <t>StrongLumio profil Lucera narážecí, 2000mm stříbrná elox + těsnění</t>
  </si>
  <si>
    <t>StrongLumio profil Lucera narážací, 2000mm strieborná elox + tesnenie</t>
  </si>
  <si>
    <t>StrongLumio LED profil Lucera, ráütéshez, eloxált alumínium, 2m</t>
  </si>
  <si>
    <t>StrongLumio profil Lucera nasuwany, 2000mm srebrny anodowany  + uszczelka</t>
  </si>
  <si>
    <t>StrongLumio profil Lucera narážecí, 4000mm bílá lak + těsnění</t>
  </si>
  <si>
    <t>StrongLumio profil Lucera narážací, 4000mm biela lak + tesnenie</t>
  </si>
  <si>
    <t>TM-profil Lucera rápattintható alu fehér lakk 4000mm</t>
  </si>
  <si>
    <t>StrongLumio profil Lucera nasuwany 4000mm, biały lakier  + uszczelka</t>
  </si>
  <si>
    <t>StrongLumio profil Lucera narážecí, 4000mm stříbrná elox + těsnění</t>
  </si>
  <si>
    <t>StrongLumio profil Lucera narážací, 4000mm strieborná elox + tesnenie</t>
  </si>
  <si>
    <t>StrongLumio LED profil Lucera, ráütéshez, eloxált alumínium, 4m</t>
  </si>
  <si>
    <t>StrongLumio profil Lucera nasuwany, 4000mm srebrny anodowany  + uszczelka</t>
  </si>
  <si>
    <t>StrongLumio propojovací kabel k All in one jednotce - CCT</t>
  </si>
  <si>
    <t>StrongLumio prepojovací kábel k All in one jednotke - CCT</t>
  </si>
  <si>
    <t>StrongLumio csatlakozókábel az All in one egységhez - CCT</t>
  </si>
  <si>
    <t>StrongLumio Kabel połączeniowy do urządzenia All in one - CCT</t>
  </si>
  <si>
    <t>StrongLumio propojovací kabel k All in One jednotce - CCT COB</t>
  </si>
  <si>
    <t>StrongLumio prepojovací kábel k All in one jednotke - CCT COB</t>
  </si>
  <si>
    <t>StrongLumio csatlakozókábel az All in One egységhez - CCT COB</t>
  </si>
  <si>
    <t>StrongLumio Kabel połączeniowy do urządzenia All in One - CCT COB</t>
  </si>
  <si>
    <t>StrongLumio propojovací kabel k All in One jednotce - jednobarevné LED</t>
  </si>
  <si>
    <t>StrongLumio prepojovací kábel k All in One jednotke - jednofarebné LED</t>
  </si>
  <si>
    <t>StrongLumio csatlakozókábel az All in One egységhez - egyszínű LED</t>
  </si>
  <si>
    <t>StrongLumio Kabel połączeniowy  do All in One unit - jednokolorowa dioda LED</t>
  </si>
  <si>
    <t>StrongLumio propojovací kabel k All in One jednotce - jednobarevné LED COB</t>
  </si>
  <si>
    <t>StrongLumio prepojovací kábel k All in one jednotke - jednofarebné LED COB</t>
  </si>
  <si>
    <t>StrongLumio csatlakozókábel az All in One egységhez - egyszínű LED COB</t>
  </si>
  <si>
    <t>StrongLumio Kabel połączeniowy do All in One unit - jednokolorowa dioda LED COB</t>
  </si>
  <si>
    <t>StrongLumio propojovací kabel k All in One jednotce - RGB</t>
  </si>
  <si>
    <t>StrongLumio prepojovací kábel k All in one jednotke - RGB</t>
  </si>
  <si>
    <t>StrongLumio csatlakozókábel az All in One egységhez - RGB</t>
  </si>
  <si>
    <t>StrongLumio Kabel połączeniowy  do urządzenia All in One - RGB</t>
  </si>
  <si>
    <t>StrongLumio propojovací kabel k All in One jednotce - RGB COB</t>
  </si>
  <si>
    <t>StrongLumio prepojovací kábel k All in one jednotke - RGB COB</t>
  </si>
  <si>
    <t>StrongLumio csatlakozókábel az All in One egységhez - RGB COB</t>
  </si>
  <si>
    <t>StrongLumio Kabel połączeniowy do urządzenia All in One - RGB COB</t>
  </si>
  <si>
    <t>StrongLumio propojovací kabel k All in One jednotce - RGBCCT 2m</t>
  </si>
  <si>
    <t>StrongLumio prepojovací kábel k All in One jednotke - RGBCCT 2m</t>
  </si>
  <si>
    <t>StrongLumio csatlakozókábel az All in One egységhez - RGBCCT 2m</t>
  </si>
  <si>
    <t>StrongLumio Kabel do urządzenia All in One - RGBCCT 2m</t>
  </si>
  <si>
    <t>StrongLumio propojovací kabel k All in One jednotce - RGBW</t>
  </si>
  <si>
    <t>StrongLumio prepojovací kábel k All in one jednotke - RGBW</t>
  </si>
  <si>
    <t>StrongLumio csatlakozókábel az All in One egységhez - RGBW</t>
  </si>
  <si>
    <t>StrongLumio Kabel połączeniowy do urządzenia All in One - RGBW</t>
  </si>
  <si>
    <t>StrongLumio propojovací kabel kulatý konektor (Jack), Mini (fem)</t>
  </si>
  <si>
    <t>StrongLumio prepojovací kábel guľatý konektor (Jack), Mini (fem)</t>
  </si>
  <si>
    <t>StrongLumio összekötő kábel, gömbölyű csatlakozó (Jack) Mini (anya)</t>
  </si>
  <si>
    <t>StrongLumio kable łączące ze złaczkami (Jack), Mini (fem)</t>
  </si>
  <si>
    <t>StrongLumio přijímač pro bezdrátové nabíjecí senzory 3PIN</t>
  </si>
  <si>
    <t>StrongLumio prijímač pre bezdrôtové nabíjacie senzory 3PIN</t>
  </si>
  <si>
    <t>StrongLumio vezeték nélküli érzékelők vevőegysége 3PIN</t>
  </si>
  <si>
    <t>StrongLumio odbiornik do bezprzewodowych czujników ładowania 3PIN</t>
  </si>
  <si>
    <t>StrongLumio přijímač pro bezdrátové nabíjecí senzory Jack/6x Mini</t>
  </si>
  <si>
    <t>StrongLumio prijímač pre bezdrôtové nabíjacie senzory Jack/6x Mini</t>
  </si>
  <si>
    <t>StrongLumio vezérlő vezetéknélküli tölthető érzékelőkhöz Jack/6x Mini</t>
  </si>
  <si>
    <t>StrongLumio odbiornik do bezprzewodowych czujników ładowania Jack/6x Mini</t>
  </si>
  <si>
    <t>StrongLumio přijímač pro bezdrátové samonapájecí vypínače 12/24V 2PIN CCT</t>
  </si>
  <si>
    <t>StrongLumio prijímač pre bezdrátové samonapájacie vypínače 12/24V 2PIN CCT</t>
  </si>
  <si>
    <t>StrongLumio vezérlő vezetéknélküli öntápláló kapcsolókhoz 12/24V 2PI</t>
  </si>
  <si>
    <t>StrongLumio odbiornik do bezprzewod wyłączników samonapędowych 12/24V 2PIN CCT</t>
  </si>
  <si>
    <t>StrongLumio přijímač pro bezdrátové samonapájecí vypínače 12/24V 3PIN</t>
  </si>
  <si>
    <t>StrongLumio prijímač pre bezdrátové samonapájacie vypínače 12/24V 3PIN</t>
  </si>
  <si>
    <t>StrongLumio vevőegység vezeték nélkül, önellátó 12/24 V-os 3-pólusú kapcsolóhoz</t>
  </si>
  <si>
    <t>StrongLumio odbiornik do bezprzewod wyłączników samozasilających 12/24V 3PIN</t>
  </si>
  <si>
    <t>StrongLumio přijímač pro bezdrátové samonapájecí vypínače 230V</t>
  </si>
  <si>
    <t>StrongLumio prijímač pre bezdrôtové samonapájacie vypínače 230V</t>
  </si>
  <si>
    <t>StrongLumio vevőegység az öntápláló kapcsolókhoz 230V</t>
  </si>
  <si>
    <t>StrongLumio odbiornik do bezprzewodowych wyłączników z własnym zasilaniem 230V</t>
  </si>
  <si>
    <t>StrongLumio prijímač/rozvádzač pre bezdrôtové samonapájacie vypínače 12/24V</t>
  </si>
  <si>
    <t>StrongLumio odbiornik/rozdzielacz do bezprzew. przeł. 12/24 V z własnym zasil.</t>
  </si>
  <si>
    <t>StrongLumio připojovací kabel 2m Mini konektor</t>
  </si>
  <si>
    <t>StrongLumio připojovací kabel CCT 2m</t>
  </si>
  <si>
    <t>StrongLumio pripojovací kábel CCT 2m</t>
  </si>
  <si>
    <t>StrongLumio csatlakozókábel CCT 2m</t>
  </si>
  <si>
    <t>StrongLumio kabeł przyłączeniowy CCT 2m</t>
  </si>
  <si>
    <t>StrongLumio připojovací kabel k digitálnímu pásku 1m</t>
  </si>
  <si>
    <t>StrongLumio pripojovací kábel k digitálnemu pásiku 1m</t>
  </si>
  <si>
    <t>StrongLumio csatlakozó kábel digitális szalaghoz 1 m</t>
  </si>
  <si>
    <t>StrongLumio kabel przyłączeniowy do taśmy cyfrowej 1 m</t>
  </si>
  <si>
    <t>StrongLumio připojovací kabel RGB LED pásek - rozvaděč</t>
  </si>
  <si>
    <t>StrongLumio pripojovací kábel RGB LED pásik - rozvádzač</t>
  </si>
  <si>
    <t>StrongLumio RGB LED csatlakozó kábel - elosztóhoz</t>
  </si>
  <si>
    <t>StrongLumio kabel zasilający RGB LED</t>
  </si>
  <si>
    <t>StrongLumio připojovací kabel s kulatým konektorem pro LED, 0,15m</t>
  </si>
  <si>
    <t>StrongLumio pripojovací kábel s guľatým konektorom pre LED, 0,15 m</t>
  </si>
  <si>
    <t>StrongLumio összekötő kábel, gömbölyű JACK/anya csatlakozó LED szalaghoz, 0,15m</t>
  </si>
  <si>
    <t>StrongLumio kabel z okrągłą końcówką do LED 0,15m</t>
  </si>
  <si>
    <t>StrongLumio připojovací kabel s kulatým konektorem pro LED, 2m</t>
  </si>
  <si>
    <t>StrongLumio prepojovací kábel s guľatým konektorom pre LED, 2m</t>
  </si>
  <si>
    <t>StrongLumio összekötő kábel, gömbölyű JACK/anya csatlakozó LED szalaghoz, 2m</t>
  </si>
  <si>
    <t>StrongLumio kabel z okrągłą końcówką do taśmy LED, 2m</t>
  </si>
  <si>
    <t>StrongLumio připojovací kabel s Mini konektorem pro neon 6x12mm, 2 m</t>
  </si>
  <si>
    <t>StrongLumio pripojovací kábel s Mini konektorom pre neón 6x12mm, 2 m</t>
  </si>
  <si>
    <t>StrongLumio csatlakozókábel Mini konnektorral neonhoz 6x12mm, 2 m</t>
  </si>
  <si>
    <t>StrongLumio připojovací kabel, 1,8m Mini konektor (543616)</t>
  </si>
  <si>
    <t>StrongLumio pripojovací kábel 1,8m Mini konektor</t>
  </si>
  <si>
    <t>StrongLumio csatlakozó kábel, Mini konektor, 1,8m</t>
  </si>
  <si>
    <t>StrongLumio kabel łączący 1,8m Mini konektor</t>
  </si>
  <si>
    <t>StrongLumio RF dálkový ovladač/stmívač 12V/24V 1 zóna</t>
  </si>
  <si>
    <t>StrongLumio RF diaľkový ovládač/stmievač 12V/24V 1 zóna</t>
  </si>
  <si>
    <t>StrongLumio RF távirányító/fényerőszabályzó 12V/24V 1 zóna</t>
  </si>
  <si>
    <t>StrongLumio RF diaľkový vypínač / stmievač 12 V / 24 V</t>
  </si>
  <si>
    <t>STRONG RF távkapcsoló/fényerő szabályozó 12V/24V</t>
  </si>
  <si>
    <t>StrongLumio RF zdalne sterowanie - pilot wyłącznik/ściemniacz 12V/24V</t>
  </si>
  <si>
    <t>StrongLumio RGB RF Touch ovladač 3x6A</t>
  </si>
  <si>
    <t>STRONG RGB RF TOUCH ovládač 3x6A</t>
  </si>
  <si>
    <t>STRONG RGB RF Touch irányitó 3x6A</t>
  </si>
  <si>
    <t>StrongLumio RGB RF Touch pilot 3x6A</t>
  </si>
  <si>
    <t>StrongLumio rozvaděč LED 6x Mini konektor, 0,25m</t>
  </si>
  <si>
    <t>StrongLumio rozvádzač LED 6x Mini konektor, 0,25m</t>
  </si>
  <si>
    <t>StrongLumio elosztó, 6x Mini csatlakozó, Mini, 0,25m</t>
  </si>
  <si>
    <t>StrongLumio rozgałęźnik LED 6x Mini konektor Mini, 0,25m</t>
  </si>
  <si>
    <t>StrongLumio rozvaděč LED 6x Mini konektor, Jack, 0,25m</t>
  </si>
  <si>
    <t>StrongLumio rozvádzač LED 6x Mini konektor,Jack, 0,25m</t>
  </si>
  <si>
    <t>StrongLumio LED elosztó, 6x Mini csatlakozó, Jack, 0,25m</t>
  </si>
  <si>
    <t>StrongLumio rozgałęźnik LED 6x Mini konektor Jack, 0,25m</t>
  </si>
  <si>
    <t>StrongLumio rozvaděč LED CCT 0,5m</t>
  </si>
  <si>
    <t>StrongLumio rozvádzač LED CCT 0,5m</t>
  </si>
  <si>
    <t>StrongLumio CCT LED elosztó, 0,5m</t>
  </si>
  <si>
    <t>StrongLumio rozgałęźnik LED CCT 0,5m</t>
  </si>
  <si>
    <t>StrongLumio rozvaděč LED RGB 0,5m</t>
  </si>
  <si>
    <t>StrongLumio rozvádzač LED RGB 0,5m</t>
  </si>
  <si>
    <t>StrongLumio RGB LED elosztó, 0,5m</t>
  </si>
  <si>
    <t>StrongLumio rozgałęźnik LED AMP z okrągłą końcówką 0,5m</t>
  </si>
  <si>
    <t>StrongLumio rozvaděč LED RGBW  0,5m</t>
  </si>
  <si>
    <t>StrongLumio rozvádzač LED RGBW  0,5m</t>
  </si>
  <si>
    <t>STRONG elosztó LED gömbölyű AMP csatlakozó 0,5m</t>
  </si>
  <si>
    <t>StrongLumio řídicí jednotka RF pro 2PIN CCT pásky</t>
  </si>
  <si>
    <t>StrongLumio riadiaca jednotka RF pre 2PIN CCT pásky</t>
  </si>
  <si>
    <t>StrongLumio RF vezérlőegység a 2PIN CCT szalagokhoz</t>
  </si>
  <si>
    <t>StrongLumio jednostka sterująca RF do taśm LED 2PIN CCT</t>
  </si>
  <si>
    <t>StrongLumio řídicí jednotka RF univerzální, 4 v 1</t>
  </si>
  <si>
    <t>StrongLumio riadiaca jednotka RF univerzálna, 4 v 1</t>
  </si>
  <si>
    <t>StrongLumio univerzális vezérlőegység, 4 az 1-ben</t>
  </si>
  <si>
    <t>StrongLumio Jednostka sterująca RF uniwersalna, 4 w 1</t>
  </si>
  <si>
    <t>StrongLumio řídicí jednotka WiFi univerzální 5 v 1 - Smart (TUYA)</t>
  </si>
  <si>
    <t>StrongLumio riadiaca jednotka WiFi univerzálna 5 v 1 - Smart (TUYA)</t>
  </si>
  <si>
    <t>StrongLumio WiFi univerzális 5in1 vezérlőegység - Smart (TUYA)</t>
  </si>
  <si>
    <t>StrongLumio jednotka sterująca WiFi uniwersalna 5 w 1 - Smart (TUYA)</t>
  </si>
  <si>
    <t>StrongLumio sada 2 LED svítidel s dálkovým ovladačem a pohybovým senzorem, černá</t>
  </si>
  <si>
    <t>StrongLumio sada LED profil Baselyte-10 High 2m+příslušenství,bílá lak</t>
  </si>
  <si>
    <t>StrongLumio sada LED profil Baselyte-10 High 2m+příslušenství,černá elox</t>
  </si>
  <si>
    <t>StrongLumio sada LED profil Baselyte-10 High 2m+příslušenství,stříbrná elox</t>
  </si>
  <si>
    <t>StrongLumio sada LED profil Baselyte-10 Low 2m+příslušenství,bílá lak</t>
  </si>
  <si>
    <t>StrongLumio sada LED profil Baselyte-10 Low 2m+příslušenství,černá elox</t>
  </si>
  <si>
    <t>StrongLumio sada LED profil Baselyte-10 Low 2m+příslušenství,stříbrná elox</t>
  </si>
  <si>
    <t>StrongLumio sada LED profil Maglyte 2m+příslušenství,bílá lak</t>
  </si>
  <si>
    <t>StrongLumio sada LED profilov Maglyte 2 m + príslušenstvo, biely lak</t>
  </si>
  <si>
    <t>StrongLumio sada LED profil Maglyte 2m+příslušenství,černá elox</t>
  </si>
  <si>
    <t>StrongLumio sada LED profilov Maglyte 2 m + príslušenstvo, čierny elox</t>
  </si>
  <si>
    <t>StrongLumio sada LED profil Maglyte 2m+příslušenství,stříbrná elox</t>
  </si>
  <si>
    <t>StrongLumio sada LED profil Maglyte 2m+príslušenstvo, strieborná elox</t>
  </si>
  <si>
    <t>StrongLumio sada LED profil Maglyte-10 Angular 2m+příslušenství,bílá lak</t>
  </si>
  <si>
    <t>StrongLumio sada LED profilov Maglyte-10 Angular 2 m + príslušenstvo, biely lak</t>
  </si>
  <si>
    <t>StrongLumio sada LED profil Maglyte-10 Angular 2m+příslušenství,černá elox</t>
  </si>
  <si>
    <t>StrongLumio sada LED profilov Maglyte-10 Angular 2 m+príslušenstvo, čier. Elox</t>
  </si>
  <si>
    <t>StrongLumio sada LED profil Maglyte-10 Angular 2m+příslušenství,stříbrná elox</t>
  </si>
  <si>
    <t>StrongLumio sada LED profilov Maglyte-10 Angular 2m+príslušenstvo, strieb. Elox</t>
  </si>
  <si>
    <t>StrongLumio sada magnetických držáků profilů Maglyte</t>
  </si>
  <si>
    <t>StrongLumio sada magnetických držiakov k profilom Maglyte</t>
  </si>
  <si>
    <t>StrongLumio zestaw magnetycznych uchwytów profilów Maglyte</t>
  </si>
  <si>
    <t>StrongLumio silikonový ohebný profil 8x16mm pro LED pásky do 10W/m, 10mm</t>
  </si>
  <si>
    <t>StrongLumio silikónový ohybný profil 8x16mm pre LED pásiky do 10W/m, 10mm</t>
  </si>
  <si>
    <t>STRONG szilikon rugalmas profil 8x16mm LED szalagokhoz akár 10W/m 10mm-ig</t>
  </si>
  <si>
    <t>StrongLumio silikonowy profil elastyczny 8x16mm do taśmy LED o mocy do 10W/m,10m</t>
  </si>
  <si>
    <t>StrongLumio Smršťovací bužírka 10,0/5,0mm hnědá</t>
  </si>
  <si>
    <t>StrongLumio Zmršťovacia bužírka 10,0/5,0mm hnedá</t>
  </si>
  <si>
    <t>StrongLumio zsugorcső, barna, 10,0/5,0mm, 1m</t>
  </si>
  <si>
    <t>StrongLumio Koszulka termokurczliwa 10,0/5,0mm brązowa</t>
  </si>
  <si>
    <t>StrongLumio Smršťovací bužírka 10,0/5,0mm, černá</t>
  </si>
  <si>
    <t>StrongLumio zmršťovacia bužírka 10,0/5,0mm, čierna</t>
  </si>
  <si>
    <t>StrongLumio zsugorcső, fekete, 10,0/5,0mm, 1m</t>
  </si>
  <si>
    <t>StrongLumio Tuleja termokurczliwa 10,0/5,0mm, czarny</t>
  </si>
  <si>
    <t>StrongLumio Smršťovací bužírka 2,0/1,0mm černá</t>
  </si>
  <si>
    <t>StrongLumio Zmršťovacia bužírka 2,0/1,0mm čierná</t>
  </si>
  <si>
    <t>StrongLumio zsugorfólia 2,0/1,0mm fekete</t>
  </si>
  <si>
    <t>StrongLumio Tuleja termokurczliwa 2,0/1,0mm czarny</t>
  </si>
  <si>
    <t>StrongLumio Smršťovací bužírka 8,0/4,0mm čirá</t>
  </si>
  <si>
    <t>StrongLumio Zmršťovacia bužírka 8,0/4,0mm čirá</t>
  </si>
  <si>
    <t>StrongLumio zsugorcső, transzparens, 8,0/4,0mm</t>
  </si>
  <si>
    <t>StrongLumio Rurka termokurczliwa 8,0/4,0mm przezroczysta</t>
  </si>
  <si>
    <t>StrongLumio Smršťovací bužírka 8,0/4,0mm žlutozelená</t>
  </si>
  <si>
    <t>StrongLumio Zmršťovacia bužírka 8,0/4,0mm žltozelená</t>
  </si>
  <si>
    <t>StrongLumio zsugorfólia 8,0/4,0mm sárga-zöld</t>
  </si>
  <si>
    <t>StrongLumio tuleja kurczliwa 8,0/4,0mm żółto-zielona</t>
  </si>
  <si>
    <t>StrongLumio Smršťovací bužírka 8,0/4,0mm, černá</t>
  </si>
  <si>
    <t>StrongLumio zmršťovacia bužírka 8,0/4,0mm, čierna</t>
  </si>
  <si>
    <t>StrongLumio zsugorcső, fekete, 8,0/4,0mm, 1m</t>
  </si>
  <si>
    <t>StrongLumio Tuleja termokurczliwa 8,0/4,0mm, czarna</t>
  </si>
  <si>
    <t>StrongLumio Smršťovací bužírka 8,0/4,0mm, hnědá</t>
  </si>
  <si>
    <t>StrongLumio zmršťovacia bužírka 8,0/4,0 mm, hnedá</t>
  </si>
  <si>
    <t>StrongLumio zsugorcső, barna, 8,0/4,0mm, 1m</t>
  </si>
  <si>
    <t>StrongLumio Tuleja termokurczliwa 8,0/4,0mm, brązowa</t>
  </si>
  <si>
    <t>StrongLumio spínacie relé pre bezdrôtové samočinné spínače 230V</t>
  </si>
  <si>
    <t>StrongLumio przekaźnik przeł. do bezprzew. włączników z własnym zasilaniem 230V</t>
  </si>
  <si>
    <t>StrongLumio spojka 2 LED pásků 10mm, zacvakávací</t>
  </si>
  <si>
    <t>StrongLumio spojka 2 LED pásikov 10 mm, zacvakávacia</t>
  </si>
  <si>
    <t>StrongLumio gyorscsatlakozó, kettő 10mm LED szalag csatlakozásához</t>
  </si>
  <si>
    <t>StrongLumio Szybkozłącze do połączenia 2 taśm LED 10mm</t>
  </si>
  <si>
    <t>StrongLumio spojka CCT LED pásek 10mm - kabel trojlinka</t>
  </si>
  <si>
    <t>StrongLumio spojka CCT LED pásik 10mm - kábel trojlinka</t>
  </si>
  <si>
    <t>StrongLumio złączka CCT LED 10mm – przewód trójżyłowy</t>
  </si>
  <si>
    <t>StrongLumio spojka CCT LED pásek 10mm - LED pásek</t>
  </si>
  <si>
    <t>StrongLumio spojka CCT LED pásik 10mm - LED pásik</t>
  </si>
  <si>
    <t xml:space="preserve"> StrongLumio złączka  do taśmy CCT LED 10 mm – do taśmy LED</t>
  </si>
  <si>
    <t>StrongLumio spojka CCT/RGB COB LED pásek 10mm - kabel trojlinka/čtyřlinka</t>
  </si>
  <si>
    <t>StrongLumio spojka CCT/RGB COB LED pásik 10mm - kábel štvorlinka</t>
  </si>
  <si>
    <t>StrongLumio złączkado taśmy CCT/RGB COB LED 10 mm – kabel trójżyłowy/czterożyło</t>
  </si>
  <si>
    <t>StrongLumio spojka CCT/RGB COB LED pásek 10mm - LED pásek</t>
  </si>
  <si>
    <t>StrongLumio spojka CCT/RGB COB LED pásik 10mm - LED pásik</t>
  </si>
  <si>
    <t>StrongLumio złączka do taśmy CCT/RGB COB LED 10 mm – taśma LED</t>
  </si>
  <si>
    <t>StrongLumio spojka COB LED pásek 5mm - kabel dvojlinka</t>
  </si>
  <si>
    <t>StrongLumio spojka COB LED pásik 5mm - kábel dvojlinka</t>
  </si>
  <si>
    <t>StrongLumio złączka do taśmy COB LED 5 mm – kabel dwuwarstwowy (dwużyłowy)</t>
  </si>
  <si>
    <t>StrongLumio spojka COB LED pásek 5mm - LED pásek</t>
  </si>
  <si>
    <t>StrongLumio spojka COB LED pásik 5mm - LED pásik</t>
  </si>
  <si>
    <t>StrongLumio złączka do taśmy COB LED 5 mm – taśma LED</t>
  </si>
  <si>
    <t>StrongLumio spojka LED pásek 10mm/kabel, zacvakávací</t>
  </si>
  <si>
    <t>StrongLumio spojka LED pásik 10mm/kábel, zacvakávacia</t>
  </si>
  <si>
    <t>STRONG Gyorscsatlakozó LED szalag 10mm / kábel felpattintható</t>
  </si>
  <si>
    <t>StrongLumio Szybkozłącze do połączenia taśmy LED 10mm z kablem zatrzaskowym</t>
  </si>
  <si>
    <t>StrongLumio spojka LED pásek 8mm/kabel, zacvakávací</t>
  </si>
  <si>
    <t>StrongLumio spojka LED pásik 8mm/kábel, zacvakávacia</t>
  </si>
  <si>
    <t>STRONG Gyorscsatlakozó LED szalag 8mm / felpattintható kábel</t>
  </si>
  <si>
    <t>StrongLumio Szybkozłącze do połączenia taśmy LED 8mm z kablem</t>
  </si>
  <si>
    <t>StrongLumio spojka LED pásek CCT 10mm - 3-linka kabel 150mm</t>
  </si>
  <si>
    <t>StrongLumio spojka LED pásikov CCT 10mm - 3-linka kábel 150mm</t>
  </si>
  <si>
    <t>StrongLumio Gyorscsatlakozó LED szalag CCT 10mm - kábel 3-vonalas 150mm</t>
  </si>
  <si>
    <t>StrongLumio Szybkozłącze do jednokolorowych taśm LED 10mm - kabel 3-żyłowy 150mm</t>
  </si>
  <si>
    <t>StrongLumio spojka LED pásek CCT COB 10mm - 3-linka kabel 150mm</t>
  </si>
  <si>
    <t>StrongLumio spojka LED pásikov CCT COB 10mm - 3-linka kábel 150mm</t>
  </si>
  <si>
    <t>StrongLumio gyorscsatlakozó, kettő 10mm CCT LED szalag csatlakoztatásához, 150mm</t>
  </si>
  <si>
    <t>StrongLumio spojka LED pásek COB CCT/RGB 10mm - LED pásek</t>
  </si>
  <si>
    <t>StrongLumio spojka LED pásik COB CCT/RGB 10mm - LED pásik</t>
  </si>
  <si>
    <t>StrongLumio Gyorscsatlakozó LED szalagokhoz 10mm (COB CCT/RGB) 3 - 4 PIN</t>
  </si>
  <si>
    <t>StrongLumio Szybkozłącze do taśm LED 10 mm (COB CCT/RGB)</t>
  </si>
  <si>
    <t>StrongLumio spojka LED pásek dvoubarevný (CCT) 10mm - 3-linka kabel CCT</t>
  </si>
  <si>
    <t>StrongLumio spojka LED pásik dvojfarebný (CCT) 10mm - 3-linka kábel CCT</t>
  </si>
  <si>
    <t>StrongLumio gyorscsatlakozó egyszínű CCT LED szalaghoz 10mm - kábel 3 PIN</t>
  </si>
  <si>
    <t>StrongLumio Szybkozłącze do dwukolorowych taśm LED (CCT) 10mm kabel 3 żyłowy CCT</t>
  </si>
  <si>
    <t>StrongLumio spojka LED pásek jednobarevný 10mm - 2-linka kabel</t>
  </si>
  <si>
    <t>StrongLumio spojka LED pásik jednofarebný 10mm - 2-linka kábel</t>
  </si>
  <si>
    <t>StrongLumio gyorscsatlakozó egyszínű fehér LED szalaghoz 10mm - kábel 2 PIN</t>
  </si>
  <si>
    <t>StrongLumio Szybkozłącze do jednokolorowych taśm LED 10 mm - kabel 2 żyłowy</t>
  </si>
  <si>
    <t>StrongLumio spojka LED pásek jednobarevný 10mm - kabel 2-linka 150mm</t>
  </si>
  <si>
    <t>StrongLumio spojka LED pásik jednofarebný 10mm - kábel 2-linka 150mm</t>
  </si>
  <si>
    <t>StrongLumio gyorscsatlakozó, 10 mm egyszínű LED szalag  - 2 eres kábel</t>
  </si>
  <si>
    <t>StrongLumio Szybkozłącze do jednokolorowych taśm LED 10mm-kabel 2 żyłowy 150 mm</t>
  </si>
  <si>
    <t>StrongLumio spojka LED pásek RGB 10mm - 4-linka kabel RGB</t>
  </si>
  <si>
    <t>StrongLumio spojka LED pásik RGB 10mm - 4-linka kábel RGB</t>
  </si>
  <si>
    <t>StrongLumio gyorscsatlakozó, 10mm színes RGB LED szalag - 4 eres kábel</t>
  </si>
  <si>
    <t>StrongLumio Szybkozłącze do RGB taśm LED 10 mm - kabel 4 żyłowy RGB</t>
  </si>
  <si>
    <t>StrongLumio spojka LED pásek RGB COB 10mm - kabel čtyřlinka 150mm</t>
  </si>
  <si>
    <t>StrongLumio spojka LED pásik RGB COB 10mm - kábel štvorlinka 150mm</t>
  </si>
  <si>
    <t>StrongLumio RGB 10mm LED szalag gyorscsatlakozó- kábel 4-vonalas 150mm- LED szal</t>
  </si>
  <si>
    <t>StrongLumio Szybkozłącze do taśm LED RGB COB 10mm - kabel 4-żyłowy 150mm</t>
  </si>
  <si>
    <t>StrongLumio RGB COB 10mm LED szalag gyorscsatlakozó - kábel 4-vonalas 150mm</t>
  </si>
  <si>
    <t>StrongLumio Szybkozłącze do taśm LED 10mm RGB COB 10mm - kabel 4-żyłowy 150mm</t>
  </si>
  <si>
    <t>StrongLumio spojka LED pásek RGBCCT 12mm - 6-linka kabel RGBCCT</t>
  </si>
  <si>
    <t>StrongLumio spojka LED pásik RGBCCT 12mm - 6-linka kábel RGBCCT</t>
  </si>
  <si>
    <t>StrongLumio LED szalag csatlakozó 12mm RGBCCT - kábel 6 vonalas RGB+CCT</t>
  </si>
  <si>
    <t>StrongLumio Szybkozłącze to taśm LED 12 mm RGBCCT - kabel 6 żyłowy RGB+CCT</t>
  </si>
  <si>
    <t>StrongLumio spojka LED pásků 10mm - 2 linka kabel</t>
  </si>
  <si>
    <t>StrongLumio spojka LED pásikov 10mm - 2 linka kábel</t>
  </si>
  <si>
    <t>StrongLumio Złącze do taśm LED 10 mm - kabel 2 żyłowy</t>
  </si>
  <si>
    <t>StrongLumio spojka LED pásků 10mm - 3 linka kabel</t>
  </si>
  <si>
    <t>StrongLumio spojka LED pásikov 10mm - 3 linka kábel</t>
  </si>
  <si>
    <t>StrongLumio Złącze do taśm LED 10 mm - kabel 3 żyłowy</t>
  </si>
  <si>
    <t>StrongLumio spojka LED pásků 10mm - 4 linka kabel</t>
  </si>
  <si>
    <t>StrongLumio spojka LED pásikov 10mm - 4 linka kábel</t>
  </si>
  <si>
    <t>StrongLumio Złącze do taśm LED 10 mm - kabel 4 żyłowy</t>
  </si>
  <si>
    <t>StrongLumio spojka LED pásků 10mm - CCT 3 piny</t>
  </si>
  <si>
    <t>StrongLumio spojka LED pásikov 10mm - CCT 3 piny</t>
  </si>
  <si>
    <t>StrongLumio gyorscsatlakozó, kettő fehér 10mm CCT LED szalagokhoz – 3 PIN</t>
  </si>
  <si>
    <t>StrongLumio Złącze do taśm LED 10 mm CCT - 3 bolce</t>
  </si>
  <si>
    <t>StrongLumio Szybkozłącze do taśm LED 10 mm - 3 bolce - CCT</t>
  </si>
  <si>
    <t>StrongLumio spojka LED pásků 10mm - RGB 4 piny</t>
  </si>
  <si>
    <t>StrongLumio spojka LED pásikov 10mm - RGB 4 piny</t>
  </si>
  <si>
    <t>StrongLumio gyorscsatlakozó, kettő színes 10mm RGB LED szalagokhoz – 4 PIN</t>
  </si>
  <si>
    <t>StrongLumio Złącze do taśm LED 10 mm RGB - 4 bolce</t>
  </si>
  <si>
    <t>StrongLumio Szybkozłącze do taśm LED 10 mm - 4 bolce - RGB</t>
  </si>
  <si>
    <t>StrongLumio spojka LED pásků 10mm - Single colour 2 piny</t>
  </si>
  <si>
    <t>StrongLumio spojka LED pásikov 10mm - Single colour 2 piny</t>
  </si>
  <si>
    <t>StrongLumio gyorscsatlakozó kettő egyszínű fehér 10mm LED szalagokhoz – 2 PIN</t>
  </si>
  <si>
    <t>StrongLumio Złącze do taśm LED 10 mm jeden kolor - 2 bolce</t>
  </si>
  <si>
    <t>StrongLumio gyoracsatlakozó kettő egyszínű 10mm LED szalagokhoz – 2 PIN</t>
  </si>
  <si>
    <t>StrongLumio Szybkozłącze do taśm LED 8 mm - 2 bolce - jeden kolor</t>
  </si>
  <si>
    <t>StrongLumio spojka LED pásků 10mm - tvar "L" (2 piny) Single colour</t>
  </si>
  <si>
    <t>StrongLumio spojka LED pásikov 10mm - tvar "L" (2 piny) Single colour</t>
  </si>
  <si>
    <t>StrongLumio gyorscsatlakozó LED szalaghoz 10mm - "L" alak, 2 PIN</t>
  </si>
  <si>
    <t>StrongLumio Szybkozłącze do taśm LED 10 mm - kształt "L" 2 bolce - jeden kolor</t>
  </si>
  <si>
    <t>StrongLumio spojka LED pásků 10mm - tvar "L" (4 piny) RGB</t>
  </si>
  <si>
    <t>StrongLumio spojka LED pásikov 10mm - tvar "L" (4 piny) - RGB</t>
  </si>
  <si>
    <t>StrongLumio gyorscsatlakozó RGB LED szalaghoz 10mm - "L" alak, 4 PIN</t>
  </si>
  <si>
    <t>StrongLumio Szybkozłącze do taśm LED 10 mm - kształt "L" 4 bolce - RGB</t>
  </si>
  <si>
    <t>StrongLumio spojka LED pásku 10mm (COB)</t>
  </si>
  <si>
    <t>StrongLumio spojka LED pásika 10mm (COB)</t>
  </si>
  <si>
    <t>StrongLumio gyorscsatlakozó 10mm COB LED szalaghoz</t>
  </si>
  <si>
    <t>StrongLumio Szybkozłącze do taśm LED 10 mm (COB)</t>
  </si>
  <si>
    <t>StrongLumio spojka LED pásků 10mm, 2 piny</t>
  </si>
  <si>
    <t>StrongLumio spojka LED pásikov 10mm, 2 piny</t>
  </si>
  <si>
    <t>STRONG LED összekötő csatlakozó 10 mm 2 szalag</t>
  </si>
  <si>
    <t>StrongLumio LED złącze do podłączenia 10mm 2 taśmy LED</t>
  </si>
  <si>
    <t>StrongLumio spojka LED pásků 12mm - RGBCCT 6 pinů</t>
  </si>
  <si>
    <t>StrongLumio spojka LED pásikov 12mm - RGBCCT 6 pinov</t>
  </si>
  <si>
    <t>StrongLumio gyorscsatlakozó, színes 12mm RGBCCT LED szalagokhoz – 6 PIN</t>
  </si>
  <si>
    <t>StrongLumio Szybkozłącze do taśm LED 12 mm - 6 bolców - RGBCCT</t>
  </si>
  <si>
    <t>StrongLumio spojka LED pásků 12mm - RGBW 5 pinů</t>
  </si>
  <si>
    <t>StrongLumio spojka LED pásikov 12mm - RGBW 5 pinov</t>
  </si>
  <si>
    <t>StrongLumio gyorscsatlakozó, színes 12mm RGBW LED szalagokhoz – 5 PIN</t>
  </si>
  <si>
    <t>StrongLumio Szybkozłącze do taśm LED 12 mm - 5 bolców - RGBW</t>
  </si>
  <si>
    <t>StrongLumio spojka LED pásků 8mm - 2 linka kabel</t>
  </si>
  <si>
    <t>StrongLumio spojka LED pásikov 8mm - 2 linka kábel</t>
  </si>
  <si>
    <t>StrongLumio gyorscsatlakozó, egyszínű fehér 8mm LED szalagokhoz - 2 eres kábel</t>
  </si>
  <si>
    <t>StrongLumio Złącze do taśm LED 8 mm - kabel 2 żyłowy</t>
  </si>
  <si>
    <t>StrongLumio spojka LED pásků 8mm - Single colour 2 piny</t>
  </si>
  <si>
    <t>StrongLumio spojka LED pásikov 8mm - Single colour 2 piny</t>
  </si>
  <si>
    <t>StrongLumio gyorscsatlakozó 8mm LED szalaghoz, 2 PIN</t>
  </si>
  <si>
    <t>StrongLumio Złącze do taśm LED 8 mm jeden kolor - 2 bolce</t>
  </si>
  <si>
    <t>StrongLumio spojka LED pásků 8mm, 2 piny</t>
  </si>
  <si>
    <t>StrongLumio spojka LED pásikov 8mm, 2 piny</t>
  </si>
  <si>
    <t>STRONG LED összekötő csatlakozó 8 mm 2 szalag</t>
  </si>
  <si>
    <t>StrongLumio LED złącze do podłączenia 8mm 2 taśmy LED</t>
  </si>
  <si>
    <t>StrongLumio spojka LED pásků jednobarevných 8mm</t>
  </si>
  <si>
    <t>StrongLumio spojka LED pásikov jednofarebných 8mm</t>
  </si>
  <si>
    <t>StrongLumio gyorscsatlakozó kettő egyszínű fehér 8mm LED szalagokhoz – 2 PIN</t>
  </si>
  <si>
    <t>StrongLumio Szybkozłącze do jednokolorowych taśm LED 10 mm</t>
  </si>
  <si>
    <t>StrongLumio spojka LED pásků rohová 2 piny 10mm</t>
  </si>
  <si>
    <t>StrongLumio spojka LED pásikov rohová 2 piny 10 mm</t>
  </si>
  <si>
    <t>StrongLumio LED szalag csatlakozó sarok 2 pines 10 mm</t>
  </si>
  <si>
    <t>StrongLumio złączka LED taśmy narożna 2 piny 10mm</t>
  </si>
  <si>
    <t>StrongLumio spojka LED pásků rohová 2 piny 8mm</t>
  </si>
  <si>
    <t>StrongLumio spojka LED pásikov rohová 2 piny 8 mm</t>
  </si>
  <si>
    <t>StrongLumio LED szalag csatlakozó sarok 2 pines 8 mm</t>
  </si>
  <si>
    <t>StrongLumio złączka LED taśmy narożna 2 piny 8mm</t>
  </si>
  <si>
    <t>StrongLumio spojka pro dvojlinku rovná</t>
  </si>
  <si>
    <t>StrongLumio spojka pre dvojlinku rovná</t>
  </si>
  <si>
    <t>STRONG Gyorscsatlakozó dupla egyenes vonalhoz</t>
  </si>
  <si>
    <t>StrongLumio Szybkozłącze do kabli podwójnych do połączenia na wprost</t>
  </si>
  <si>
    <t>StrongLumio spojka pro dvojlinku rozbočovací typ T</t>
  </si>
  <si>
    <t>StrongLumio spojka pre dvojlinku rozbočovací typ T</t>
  </si>
  <si>
    <t>STRONG Gyorscsatlakozó dupla vezetékhez T típushoz</t>
  </si>
  <si>
    <t>StrongLumio Szybkozłącze do kabli podwójnych do połączenia typu T</t>
  </si>
  <si>
    <t>StrongLumio spojka RGB LED pásek 10mm - kabel čtyřlinka</t>
  </si>
  <si>
    <t>StrongLumio spojka RGB LED pásik 10mm - kábel štvorlinka</t>
  </si>
  <si>
    <t>StrongLumio złączka do taśmy RGB LED 10 mm – kabel czteroprzewodowy</t>
  </si>
  <si>
    <t>StrongLumio spojka RGB LED pásek 10mm - LED pásek</t>
  </si>
  <si>
    <t>StrongLumio spojka RGB LED pásik 10mm - LED pásik</t>
  </si>
  <si>
    <t>Złączka do taśmy LED RGB 10 mm – taśma LED</t>
  </si>
  <si>
    <t>StrongLumio spojka RGBCCT LED pásek 12mm - kabel šestilinka</t>
  </si>
  <si>
    <t>StrongLumio spojka RGBCCT LED pásik 12mm - kábel šesťlinka</t>
  </si>
  <si>
    <t>StrongLumio łącznik taśmy LED RGBCCT 12 mm – kabel sześciożyłowy</t>
  </si>
  <si>
    <t>StrongLumio spojka RGBCCT LED pásek 12mm - LED pásek</t>
  </si>
  <si>
    <t>StrongLumio spojka RGBCCT LED pásik 12mm - LED pásik</t>
  </si>
  <si>
    <t xml:space="preserve"> StrongLumio złączka do taśmy RGBCCT LED 12 mm – do taśmy LED</t>
  </si>
  <si>
    <t>StrongLumio spojka RGBW LED pásek 12mm - kabel pětilinka</t>
  </si>
  <si>
    <t>StrongLumio spojka RGBW LED pásik 12mm - kábel päťlinka</t>
  </si>
  <si>
    <t>StrongLumio złączka do taśmy RGBW LED 12 mm – kabel pięciożyłowy</t>
  </si>
  <si>
    <t>StrongLumio spojka RGBW LED pásek 12mm - LED pásek</t>
  </si>
  <si>
    <t>StrongLumio spojka RGBW LED pásik 12mm - LED pásik</t>
  </si>
  <si>
    <t>StrongLumio csatlakozó RGBW LED szalag 12mm - LED szalag</t>
  </si>
  <si>
    <t>StrongLumio spojka rohová CCT/RGB COB LED pásek 10mm - LED pásek</t>
  </si>
  <si>
    <t>StrongLumio spojka rohová CCT/RGB COB LED pásik 10mm - LED pásik</t>
  </si>
  <si>
    <t>StrongLumio kątowa złączka do taśmy CCT/RGB COB LED 10 mm – taśma LED</t>
  </si>
  <si>
    <t>StrongLumio spojka rohová COB LED pásek 5mm - LED pásek</t>
  </si>
  <si>
    <t>StrongLumio spojka rohová COB LED pásik 5mm - LED pásik</t>
  </si>
  <si>
    <t>StrongLumio kątowa złączka do taśmy COB LED 5 mm – taśma LED</t>
  </si>
  <si>
    <t>StrongLumio spojka univerzální LED pásek 10mm - kabel dvojlinka</t>
  </si>
  <si>
    <t>StrongLumio spojka univerzálna LED pásik 10mm - kábel dvojlinka</t>
  </si>
  <si>
    <t>StrongLumio csatlakozó univerzális LED szalag/dupla vonal 10 mm</t>
  </si>
  <si>
    <t>StrongLumio złączka uniwersalna LED taśma 10 mm - kabel dwużyłowy</t>
  </si>
  <si>
    <t>StrongLumio spojka univerzální LED pásek 8mm - kabel dvojlinka</t>
  </si>
  <si>
    <t>StrongLumio spojka univerzálna LED pásik 8mm - kábel dvojlinka</t>
  </si>
  <si>
    <t>StrongLumio csatlakozó univerzális LED szalag/dupla vonal 8 mm</t>
  </si>
  <si>
    <t>StrongLumio złączka uniwersalna LED taśma 8 mm – kabel dwużyłowy</t>
  </si>
  <si>
    <t>StrongLumio spojovací sada rohová k profilům Maglyte</t>
  </si>
  <si>
    <t>StrongLumio spojovacia sada rohová k profilom Maglyte</t>
  </si>
  <si>
    <t>StrongLumio sarokösszekötő szett Maglyte profilokhoz</t>
  </si>
  <si>
    <t>StrongLumio Zestaw łączników narożnych do profili Maglyte</t>
  </si>
  <si>
    <t>StrongLumio spojovací sada rovná k profilům Maglyte</t>
  </si>
  <si>
    <t>StrongLumio spojovacia sada rovná k profilom Maglyte</t>
  </si>
  <si>
    <t>StrongLumio összekötő szett Maglyte profilokhoz</t>
  </si>
  <si>
    <t>StrongLumio zestaw łączników prostych do profili Maglyte</t>
  </si>
  <si>
    <t>StrongLumio spona pro LED profil Arbona, kovová</t>
  </si>
  <si>
    <t>StrongLumio spona pre LED profil Arbona, kovová</t>
  </si>
  <si>
    <t>STRONG kapocs LED profilhoz Arbona fém</t>
  </si>
  <si>
    <t>StrongLumio klips do profilu LED Arbona, metalowy</t>
  </si>
  <si>
    <t>StrongLumio spona pro LED profil Belcore šedá</t>
  </si>
  <si>
    <t>StrongLumio spona pre LED profil Belcore, šedá</t>
  </si>
  <si>
    <t>STRONG kapocs LED-hez profil Belcore</t>
  </si>
  <si>
    <t>StrongLumio plastikowy uchwyt do LED profilu Belcore szara</t>
  </si>
  <si>
    <t>StrongLumio spona pro LED profil Fanto šedá</t>
  </si>
  <si>
    <t>StrongLumio spona pre LED profil Fanto, šedá</t>
  </si>
  <si>
    <t>STRONG kapocs LED-hez profil Fanto</t>
  </si>
  <si>
    <t>StrongLumio plastikowy uchwyt do LED profilu Fanto szary</t>
  </si>
  <si>
    <t>StrongLumio těsnění pro LED profil Lucera</t>
  </si>
  <si>
    <t>StrongLumio tesnenie pre LED profil Lucera</t>
  </si>
  <si>
    <t>StrongLumio tömítés Lucera LED profilhoz</t>
  </si>
  <si>
    <t>StrongLumio Uszczelka do profilu LED Lucera</t>
  </si>
  <si>
    <t>StrongLumio úchyt profilu Pen8 + koncovka (pár)</t>
  </si>
  <si>
    <t>StrongLumio végzáró és rögzítő Pen8 profilhoz</t>
  </si>
  <si>
    <t>StrongLumio mocowanie profilu Pen8 + końcówka (para)</t>
  </si>
  <si>
    <t>StrongLumio úchytový profil Fix pro LED profily 2000mm</t>
  </si>
  <si>
    <t>StrongLumio úchytkový profil Fix pre LED profily 2000mm</t>
  </si>
  <si>
    <t>StrongLumio rögzítő profil Fix LED profilokhoz 2000mm</t>
  </si>
  <si>
    <t>StrongLumio profil uchwytowy Fix do LED profilu 2000mm</t>
  </si>
  <si>
    <t>StrongLumio úchyty pružinové pro LED profil (pár)</t>
  </si>
  <si>
    <t>StrongLumio úchyty pružinové pre LED profil (pár)</t>
  </si>
  <si>
    <t>StrongLumio rugós rögzítő LED profilhoz</t>
  </si>
  <si>
    <t>StrongLumio mocowania sprężynowe do LED profili (para)</t>
  </si>
  <si>
    <t>StrongLumio úchyty pružinové pro LED profily 14 (pár)</t>
  </si>
  <si>
    <t>StrongLumio úchyty pružinové pre LED profily 14 (pár)</t>
  </si>
  <si>
    <t>StrongLumio rugós rögzítő 14 LED profilhoz</t>
  </si>
  <si>
    <t>StrongLumio mocowania sprężynowe do LED profili 14 (para)</t>
  </si>
  <si>
    <t>StrongLumio úchyty pružinové Smart 10/Slim 8, bílá (pár)</t>
  </si>
  <si>
    <t>StrongLumio úchyty pružinové Smart 10/Slim 8, biela (pár)</t>
  </si>
  <si>
    <t>StrongLumio rugós rögzítő, Smart 10/Slim 8 profilhoz, fehér</t>
  </si>
  <si>
    <t>StrongLumio mocowania sprężynowe Smart 10/Slim 8, biały (para)</t>
  </si>
  <si>
    <t>StrongLumio úchyty pružinové Smart 10/Slim 8, černá (pár)</t>
  </si>
  <si>
    <t>StrongLumio úchyty pružinové Smart 10/Slim 8, čierna (pár)</t>
  </si>
  <si>
    <t>StrongLumio rugós rögzítő, Smart 10/Slim 8 profilhoz, fekete</t>
  </si>
  <si>
    <t>StrongLumio mocowania sprężynowe Smart 10/Slim 8, czarny (para)</t>
  </si>
  <si>
    <t>StrongLumio úchyty pružinové Smart 10/Slim 8, inox (pár)</t>
  </si>
  <si>
    <t>StrongLumio rugós rögzítő, Smart 10/Slim 8 profilhoz, inox</t>
  </si>
  <si>
    <t>StrongLumio mocowania sprężynowe Smart 10/Slim 8, inox (para)</t>
  </si>
  <si>
    <t>StrongLumio úchyty pružinový Wide 24 inox (pár)</t>
  </si>
  <si>
    <t>StrongLumio úchyty pružinové Wide 24 inox (pár)</t>
  </si>
  <si>
    <t>StrongLumio rugós rögzítő, Wide 24 profilhoz, inox</t>
  </si>
  <si>
    <t>StrongLumio mocowania sprężynowe Wide 24 inox (para)</t>
  </si>
  <si>
    <t>StrongLumio vypínač dveřní mechanický 230V 2A, bílá</t>
  </si>
  <si>
    <t>StrongLumio vypínač dverový mechanický, 230V 2A, biela</t>
  </si>
  <si>
    <t>StrongLumio mechanikus ajtókapcsoló, 230V, 12/24V, 2A, fehér</t>
  </si>
  <si>
    <t>StrongLumio mechaniczny wyłacznik do drzwi 230V 2A, biały</t>
  </si>
  <si>
    <t>StrongLumio vypínač dveřní mechanický 230V 2A, černá</t>
  </si>
  <si>
    <t>StrongLumio vypínač dverový mechanický, 230V 2A, čierna</t>
  </si>
  <si>
    <t>StrongLumio mechanikus ajtókapcsoló, 230V, 12/24V, 2A, fekete</t>
  </si>
  <si>
    <t>StrongLumio mechaniczny wyłacznik do drzwi  230V 2A, czarny</t>
  </si>
  <si>
    <t>SAL341</t>
  </si>
  <si>
    <t>StrongLumio vypínač kolébkový R13 230V 4A bílá</t>
  </si>
  <si>
    <t>StrongLumio vypínač kolískový R13 230V 4A, biela</t>
  </si>
  <si>
    <t>StrongLumio mechanikus billenő kapcsoló, R13, 12 - 230V, 4A, fehér</t>
  </si>
  <si>
    <t>StrongLumio wyłącznik kołyskowy R13 230V 4A biały</t>
  </si>
  <si>
    <t>SAL342</t>
  </si>
  <si>
    <t>StrongLumio vypínač kolébkový R13 230V 4A černý</t>
  </si>
  <si>
    <t>StrongLumio Vypínač kolískový R13 230V 4A čierný</t>
  </si>
  <si>
    <t>StrongLumio mechanikus billenő kapcsoló, R13, 12 - 230V, 4A, fekete</t>
  </si>
  <si>
    <t>StrongLumio wyłącznik kołyskowy  R13 230V 4A czarny</t>
  </si>
  <si>
    <t>SAL344</t>
  </si>
  <si>
    <t>StrongLumio vypínač kolébkový R13 230V 4A hnědá</t>
  </si>
  <si>
    <t>StrongLumio vypínač kolískový R13 230V 4A, hnědá</t>
  </si>
  <si>
    <t>StrongLumio mechanikus billenő kapcsoló, R13, 12 - 230V, 4A, barna</t>
  </si>
  <si>
    <t>StrongLumio wyłącznik kołyskowy  R13 230V 4A brązowy</t>
  </si>
  <si>
    <t>SAL343</t>
  </si>
  <si>
    <t>StrongLumio vypínač kolébkový R13 230V 4A šedá</t>
  </si>
  <si>
    <t>StrongLumio vypínač kolískový R13 230V 4A, šedá</t>
  </si>
  <si>
    <t>StrongLumio mechanikus billenő kapcsoló, R13, 12 - 230V, 4A, szürke</t>
  </si>
  <si>
    <t>StrongLumio wyłącznik kołyskowy  R13 230V 4A szary</t>
  </si>
  <si>
    <t>StrongLumio vypínač/dveřní senzor pro max. 3 čidla, 12-24V 8A</t>
  </si>
  <si>
    <t>StrongLumio vypínač/dverný senzor pre max. 3 čidlá, 12-24V 8A</t>
  </si>
  <si>
    <t>StrongLumio érintésnélküli kapcsoló ajtóba, max. 3 érzékelő, 12-24V, 8A</t>
  </si>
  <si>
    <t>StrongLumio wyłącznik/do max. 3 czujników, 12-24V 8A</t>
  </si>
  <si>
    <t>StrongLumio vypínač/stmívač - nízká hloubka - 12/24V - 3PIN černá</t>
  </si>
  <si>
    <t>StrongLumio vypínač/stmievač - nízká hĺbka - 12/24V - 3PIN čierna</t>
  </si>
  <si>
    <t>StrongLumio kapcsoló/szabályozó - alacsony mélység - 12/24V - 3PIN</t>
  </si>
  <si>
    <t>Przełącznik/ściemniacz StrongLumio - mała głębokość - 12/24V - 3PIN czarny</t>
  </si>
  <si>
    <t>StrongLumio vypínač/stmívač 12-24V - 3PIN bílá</t>
  </si>
  <si>
    <t>StrongLumio vypínač/stmievač 12-24V - 3PIN biela</t>
  </si>
  <si>
    <t>StrongLumio kapcsoló/szabályozó (fehér) 12-24V - 3PIN</t>
  </si>
  <si>
    <t>StrongLumio wyłącznik/ściemniacz 12-24V - 3PIN biały</t>
  </si>
  <si>
    <t>StrongLumio vypínač/stmívač 12-24V - 3PIN černá</t>
  </si>
  <si>
    <t>StrongLumio vypínač/stmievač 12-24V - 3PIN čierna</t>
  </si>
  <si>
    <t>StrongLumio kapcsoló/szabályozó (fekete) 12-24V - 3PIN</t>
  </si>
  <si>
    <t>StrongLumio wyłącznik/ściemniacz 12-24V - 3PIN czarny</t>
  </si>
  <si>
    <t>StrongLumio vypínač/stmívač 12-24V - 3PIN, s podsvícením stříbrná</t>
  </si>
  <si>
    <t>StrongLumio vypínač/stmievač 12-24V - 3PIN s podsvietením, strieborná</t>
  </si>
  <si>
    <t>StrongLumio kapcsoló/szabályozó (ezüst) 12-24V - 3PIN, háttérvilágítással</t>
  </si>
  <si>
    <t>StrongLumio wyłącznik/ściemniacz 12-24V - 3PIN srebrny</t>
  </si>
  <si>
    <t>StrongLumio vypínač/stmievač 12-24V 4A konektory Mini, biela</t>
  </si>
  <si>
    <t>StrongLumio kapcsoló/fényerő szabályozó, 12-24V, 4A, Mini csatlakozóval, fehér</t>
  </si>
  <si>
    <t>StrongLumio włącznik/ściemniacz 12-24V 4A złącza Mini, biały</t>
  </si>
  <si>
    <t>StrongLumio vypínač/stmievač 12-24V 4A konektory Mini, čierna</t>
  </si>
  <si>
    <t>StrongLumio kapcsoló/fényerő szabályozó, 12-24V, 4A, Mini csatlakozóval, fekete</t>
  </si>
  <si>
    <t>StrongLumio włącznik/ściemniacz 12-24V 4A złącza Mini,  czarny</t>
  </si>
  <si>
    <t>StrongLumio vypínač/stmievač 12-24V, 4A konektory Mini, strieborná</t>
  </si>
  <si>
    <t>StrongLumio kapcsoló/fényerő szabályozó, 12-24V, 4A, Mini csatlakozóval, ezüst</t>
  </si>
  <si>
    <t>StrongLumio wyłacznik/ściemniacz 12-24V 4A, konektory Mini srebrny</t>
  </si>
  <si>
    <t>StrongLumio závěsná lanka k profilům Maglyte, černá</t>
  </si>
  <si>
    <t>StrongLumio závesné lanká k profilom Maglyte, čierna</t>
  </si>
  <si>
    <t>StrongLumio függesztőkábelek Maglyte profilokhoz, fekete</t>
  </si>
  <si>
    <t>StrongLumio linki nośne do profili Maglyte, czarne</t>
  </si>
  <si>
    <t>StrongLumio závěsná lanka k profilům Maglyte, stříbrná</t>
  </si>
  <si>
    <t>StrongLumio závesné lanká k profilom Maglyte, strieborná</t>
  </si>
  <si>
    <t>StrongLumio linki nośne StrongLumio do profili Maglyte, srebrne</t>
  </si>
  <si>
    <t>StrongLumio závěsné lanko 1500mm chrom</t>
  </si>
  <si>
    <t>StrongLumio závesné lanko 1500mm chróm</t>
  </si>
  <si>
    <t>StrongLumio linka do zawieszenia 1500mm chrom</t>
  </si>
  <si>
    <t>TL- UV LED pásek 14,4W/m, 12V 10mm  original UV čip</t>
  </si>
  <si>
    <t>TL- UV LED pásik 14,4W/m, 12V  original UV čip</t>
  </si>
  <si>
    <t>TL- UV LED szalag 14,4W/m, 12V  eredeti UV chip</t>
  </si>
  <si>
    <t>TL-dálkový CCT ROUND LED ovladač</t>
  </si>
  <si>
    <t>TL-diaľkový CCT ROUND LED ovládač</t>
  </si>
  <si>
    <t>TL-távvezérlő CCT ROUND LED</t>
  </si>
  <si>
    <t>TL-dálkový ovládač dimLED OVL 4KL</t>
  </si>
  <si>
    <t>TL-diaľkový ovládač dimLED OVL 4KL</t>
  </si>
  <si>
    <t>TL-távvezérlő dimLED OVL 4KL</t>
  </si>
  <si>
    <t>TL-pilot dimLED OVL 4KL</t>
  </si>
  <si>
    <t>TL-dálkový ovladač dimLED OVS 4KR</t>
  </si>
  <si>
    <t>TL-Diaľkový ovládač dimLED OVS 4KR</t>
  </si>
  <si>
    <t>TL-távvezérlés dimLED OVS 4KR</t>
  </si>
  <si>
    <t>TL-pilot dimLED OVS 4KR</t>
  </si>
  <si>
    <t>TL-dálkový RF ovladač RGB dimLED 4kanálový</t>
  </si>
  <si>
    <t>TL-diaľkový RF ovládač RGB dimLED 4kanálový</t>
  </si>
  <si>
    <t>TL-RF távirányító RGB dimLED 4 csatornás</t>
  </si>
  <si>
    <t>TL-pilot RF  RGB dimLED 4 kanały</t>
  </si>
  <si>
    <t>TL-dálkový RF ovladač RGB LED</t>
  </si>
  <si>
    <t>TL-diaľkový RF ovládač RGB LED</t>
  </si>
  <si>
    <t>TL-táv RF irányító RGB LED</t>
  </si>
  <si>
    <t>TL-dálkový RF ovladač RGB LED 1kanál.</t>
  </si>
  <si>
    <t>TL-diaľkový ovládač RGB LED 1kanál.</t>
  </si>
  <si>
    <t>TL-táv RF irányító RGB LED 1kanál.</t>
  </si>
  <si>
    <t>TL-pilot RF do RGB LED, 1 program</t>
  </si>
  <si>
    <t>TL-dálkový RF ovladač RGBW dimLED 8kanálový</t>
  </si>
  <si>
    <t>TL-Diaľkový RF ovládač RGBW dimLED 8kanálový</t>
  </si>
  <si>
    <t>TL-remote RF RGBW dimLED 8 csatornás vezérlő</t>
  </si>
  <si>
    <t>TL-pilot RF sterownik RGBW dimLED 8-kanałowy</t>
  </si>
  <si>
    <t>TL-dálkový RF ovladač stmívač - klíčenka</t>
  </si>
  <si>
    <t>TL-diaľkový RF ovládač stmievač - kľúčenka</t>
  </si>
  <si>
    <t>TL-távoli RF távirányítós fényerőszabályzó
 - kulcstartós</t>
  </si>
  <si>
    <t>TL-pilot RF - na klucze</t>
  </si>
  <si>
    <t>TL-DC rozbočovač, 2x výstup</t>
  </si>
  <si>
    <t>TL-DC elosztó, 2x kimenet</t>
  </si>
  <si>
    <t>TL-DC rozdzielacz, 2x wyjście</t>
  </si>
  <si>
    <t>TL-Koncovka LED pásku 12/24V IP68</t>
  </si>
  <si>
    <t>TL-Koncovka LED pásiku 12/24V IP68</t>
  </si>
  <si>
    <t>Końcówka do taśmy LED 12/24V IP68</t>
  </si>
  <si>
    <t>TL-LED pásek 14,4W/m 24V 10mm RGB+CW studená bílá IP20</t>
  </si>
  <si>
    <t>TL-LED pásik 14,4W/m 24V RGB+CW studená biela IP20</t>
  </si>
  <si>
    <t>TL-LED szalag 14,4W/m 24V RGB+CW hideg fehér IP20</t>
  </si>
  <si>
    <t>TL-LED taśma 14,4W/m 24V RGB+CW IP20</t>
  </si>
  <si>
    <t>TL-LED pásek 24V RGBCCT COB 16W záruka 3 roky</t>
  </si>
  <si>
    <t>TL-LED pásek 4,8W/m 12V 8mm bílá extra teplá</t>
  </si>
  <si>
    <t>TL-LED szalag 4,8W/m 12V meleg fehér</t>
  </si>
  <si>
    <t>TL-LED pásek 7,2W/m 12V 10mm RGB IP50 (30 LED)</t>
  </si>
  <si>
    <t>TL-LED pásik 7,2W/m 12V 10mm RGB IP50 (30 LED)</t>
  </si>
  <si>
    <t>TL-LED szalag 7,2 W/m 12 V 10 mm RGB IP50 (30 LED)</t>
  </si>
  <si>
    <t>TL-LED pasek 7,2W/m 12V 10mm RGB IP50 (30 LED)</t>
  </si>
  <si>
    <t>TL-LED pásek 9,6W/m 12V 10mm IP20 (120 LED) červená</t>
  </si>
  <si>
    <t>TL-LED pásik 9.6W/m 12V 10mm IP20 (120 LED)</t>
  </si>
  <si>
    <t>TL-LED pásek 9,6W/m 12V 10mm IP20 (120 LED) zelená</t>
  </si>
  <si>
    <t>TL-LED pásek 9,6W/m 24V 10mm IP68 (120 LED) teplá bílá</t>
  </si>
  <si>
    <t>TL-LED pásik 9.6W/m 24V 10mm IP68 (120 LED) biela teplá</t>
  </si>
  <si>
    <t>TL-LED pásek CCT 18W 12V 8mm</t>
  </si>
  <si>
    <t>TL-LED pásik CCT CCT18W12V 8mm</t>
  </si>
  <si>
    <t>TL-LED szalag CCT CCT18W12V</t>
  </si>
  <si>
    <t>TL-LED pásek COB 10W/m 12V 8mm bílá neutrální IP20 (528 LED)</t>
  </si>
  <si>
    <t>TL-led pásik COB 10W/m 12V biela neutrálna IP20 (528 led)</t>
  </si>
  <si>
    <t>TL-LED pásek Mini 7,5W/m 12V 3,5mm neutrální bílá</t>
  </si>
  <si>
    <t>TL-LED pásek Mini 7,5W/m 12V biela neutrálna</t>
  </si>
  <si>
    <t>TL-LED pásek ohebný Z300 6,2W/m 12V 6mm neutrální bílá</t>
  </si>
  <si>
    <t>TL-led pásik ohybný Z300 6,2W/m 12V neutrálna biela</t>
  </si>
  <si>
    <t>TL-LED pásek ohebný Z300 6,2W/m 12V 6mm teplá bílá</t>
  </si>
  <si>
    <t>TL-LED pásik ohybný Z300 6,2W/m 12V 6mm teplá biela</t>
  </si>
  <si>
    <t>TL-LED szallag rugalmas  Z300 6,2W/m 12V 6mm meleg fehér</t>
  </si>
  <si>
    <t>Elastyczna taśma LED elastyczna Z300 6,2W/m 12V 6mm ciepła biała</t>
  </si>
  <si>
    <t>TL-LED pásek teplá bílá 4,8W 24V 8mm</t>
  </si>
  <si>
    <t>TL-LED pásik teplá biela 4,8W 24V</t>
  </si>
  <si>
    <t>TL-LED szalag meleg fehér 4,8W 24V 8mm</t>
  </si>
  <si>
    <t>TL- Taśma LED, kolor ciepły biały, 4,8W 24V</t>
  </si>
  <si>
    <t>TL-napájecí zdroj pro LED 12V 30W IP67</t>
  </si>
  <si>
    <t>TL-napájecí zdroj pro LED 12V 36W IP20</t>
  </si>
  <si>
    <t>TL-napájací zdroj pre LED 12V 36W IP20</t>
  </si>
  <si>
    <t>TL-tápegység LED-hez 12V 36W IP20</t>
  </si>
  <si>
    <t>TL-zasilacz do  LED 12V 36W IP20</t>
  </si>
  <si>
    <t>TL-napájecí zdroj pro LED 12V 48W IP20</t>
  </si>
  <si>
    <t>TL-napájací zdroj pre LED 12V 48W IP20</t>
  </si>
  <si>
    <t>TL-tápegység LED-hez 12V 48W IP20</t>
  </si>
  <si>
    <t>TL-zasilacz do LED 12V 48W IP20</t>
  </si>
  <si>
    <t>TL-napájecí zdroj pro LED 12V 72W IP20</t>
  </si>
  <si>
    <t>TL-napájací zdroj pre LED 12V 72W IP20</t>
  </si>
  <si>
    <t>TL-tápegység LED-hez 12V 72W IP20</t>
  </si>
  <si>
    <t>TL-zasilacz do LED 12V 72W IP20</t>
  </si>
  <si>
    <t>TL-napájecí zdroj pro LED 24V 100W IP67 Long</t>
  </si>
  <si>
    <t>TL-transformátor pre LED 24V 100W IP67 Long</t>
  </si>
  <si>
    <t>TL-tápegység LED-hez 24V 100W IP67 Long</t>
  </si>
  <si>
    <t>TL-zasilacz do LED 24V 100W IP67 Long</t>
  </si>
  <si>
    <t>TL-napájecí zdroj pro LED 24V 100W IP67 Slim</t>
  </si>
  <si>
    <t>TL-napájací zdroj pre LED 24V 100W IP67 Slim</t>
  </si>
  <si>
    <t>TL-tápegység LED-hez 24V 100W IP67 Slim</t>
  </si>
  <si>
    <t>TL-napájecí zdroj pro LED 24V 150W IP67 Long</t>
  </si>
  <si>
    <t>TL-napájací zdroj pre LED 24V 150W IP67 Long</t>
  </si>
  <si>
    <t>TL-tápegység LED-hez 24V 150W IP67 Long</t>
  </si>
  <si>
    <t>TL- zasilacz do LED 24V 150W IP67 Long</t>
  </si>
  <si>
    <t>TL-napájecí zdroj pro LED 24V 200W IP67 Long</t>
  </si>
  <si>
    <t>TL-napájací zdroj pre LED 24V 200W IP67 Long</t>
  </si>
  <si>
    <t>TL-tápegység LED-hez 24V 200W IP67 Long</t>
  </si>
  <si>
    <t>TL-zasilacz do LED 24V 200W IP67 Long</t>
  </si>
  <si>
    <t>TL-napájecí zdroj pro LED 24V 250W IP20</t>
  </si>
  <si>
    <t>HAWA 31512 Folding Concepta III 20/25 Pull zásuvná sada, ľavá</t>
  </si>
  <si>
    <t>TL-tápegység LED hez 24V 250W IP20</t>
  </si>
  <si>
    <t>TL-zasilacz do LED 24V 250W IP20</t>
  </si>
  <si>
    <t>TL-napájecí zdroj pro LED 24V 250W IP67 záruka 5 let</t>
  </si>
  <si>
    <t>TL-napájací zdroj pre led 24V 250W IP67 záruka 5 rokov</t>
  </si>
  <si>
    <t>TL-tápegység LED-hez 24V 250W IP67</t>
  </si>
  <si>
    <t>TL-zasilacz do LED 24V 250W IP67</t>
  </si>
  <si>
    <t>TL-napájecí zdroj pro LED 24V 300W IP67 Slim</t>
  </si>
  <si>
    <t>TL-napájací zdroj pre LED 24V 300W IP67 Slim</t>
  </si>
  <si>
    <t>TL-tápegység LED-hez 24V 300W IP67 Slim</t>
  </si>
  <si>
    <t>TL - Zasilacz do LED 24V 300W IP67 Slim</t>
  </si>
  <si>
    <t>TL-napájecí zdroj pro LED 24V 300W IP67 záruka 5 let</t>
  </si>
  <si>
    <t>TL-transformátor pre LED 24V 300W IP67</t>
  </si>
  <si>
    <t>TL-tápegység LED-hez 24V 300W IP67</t>
  </si>
  <si>
    <t>Zasilacz TL do LED 24V 300W IP67</t>
  </si>
  <si>
    <t>TL-napájecí zdroj pro LED 24V 350W IP67 záruka 5 let</t>
  </si>
  <si>
    <t>TL-transformátor pre LED 24V 350W IP67</t>
  </si>
  <si>
    <t>TL-tápegység LED-hez 24V 350W IP67</t>
  </si>
  <si>
    <t>Zasilacz TL do LED 24V 350W IP67</t>
  </si>
  <si>
    <t>TL-napájecí zdroj pro LED 24V 400W IP20</t>
  </si>
  <si>
    <t>TL-napájací zdroj pre LED 24V 400W IP20</t>
  </si>
  <si>
    <t>TL-tápegység LED hez 24V 400W IP20</t>
  </si>
  <si>
    <t>TL-zasilacz do LED 24V 400W IP20</t>
  </si>
  <si>
    <t>TL-napájecí zdroj pro LED 24V 400W IP20 (nastavení intenzity)</t>
  </si>
  <si>
    <t>TL-napájací zdroj pre LED 24V 400W IP20(nastavenie intenzity)</t>
  </si>
  <si>
    <t>TL-zasilacz do LED 24V 400W IP20 (regulacja jasności)</t>
  </si>
  <si>
    <t>TL-napájecí zdroj pro LED 24V 400W IP67 Slim</t>
  </si>
  <si>
    <t>TL-transformátor pre LED 24V 400W IP67 Slim</t>
  </si>
  <si>
    <t>TL-tápegység LED-hez 24V 400W IP67 Slim</t>
  </si>
  <si>
    <t>TL Zasilacz do LED 24V 400W IP67 Slim</t>
  </si>
  <si>
    <t>TL-napájecí zdroj pro LED 24V 60W IP67</t>
  </si>
  <si>
    <t>TL-napájací zdroj pre LED 24V 60W IP67</t>
  </si>
  <si>
    <t>TL-tápegység 24V 60W IP67 LED-hez</t>
  </si>
  <si>
    <t>TL-zasilacz do LED 24V 60W IP67</t>
  </si>
  <si>
    <t>TL-napájecí zdroj pro LED SLIM 24V 150W IP67</t>
  </si>
  <si>
    <t>TL-napájací zdroj pre LED SLIM 24V 150W IP67</t>
  </si>
  <si>
    <t>TL-tápegység pro LED SLIM 24V 150W IP67</t>
  </si>
  <si>
    <t>TL-zasilacz do LED SLIM 24V 150W IP67</t>
  </si>
  <si>
    <t>TL-napájecí zdroj pro LED Slim 24V 200W IP67</t>
  </si>
  <si>
    <t>TL-transformátor pre LED Slim 24V 200W IP67</t>
  </si>
  <si>
    <t>TL-tápegység LED-hez Slim 24V 200W IP67</t>
  </si>
  <si>
    <t>TL-zasilacz dla LED Slim 24V 200W IP67</t>
  </si>
  <si>
    <t>TL-ovladač dimLED OVM ALLMIX 4KM</t>
  </si>
  <si>
    <t>TL-ovládač dimLED OVM ALLMIX 4KM</t>
  </si>
  <si>
    <t>TL-távvezérlő dimLED OVM ALLMIX 4KM</t>
  </si>
  <si>
    <t>TL-pilot dimLED OVM ALLMIX 4KM</t>
  </si>
  <si>
    <t>TL-přijímač dimLED PR 1KRF</t>
  </si>
  <si>
    <t>TL-Prijímač dimLED PR 1KRF</t>
  </si>
  <si>
    <t>TL-vevő dimLED PR 1KRF</t>
  </si>
  <si>
    <t>TL-odbiornik dimLED PR 1KRF</t>
  </si>
  <si>
    <t>TL-přijímač dimLED PR CCT1</t>
  </si>
  <si>
    <t>TL-prijímač dimLED PR CCT1</t>
  </si>
  <si>
    <t>TL- dimLED PR CCT1 vevőegység</t>
  </si>
  <si>
    <t>Odbiornik TL przyciemniony PR CCT1</t>
  </si>
  <si>
    <t>TL-přijímač dimLED PR RGB1</t>
  </si>
  <si>
    <t>TL-Prijímač dimLED PR RGB1</t>
  </si>
  <si>
    <t>TL-vevő dimLED PR RGB1</t>
  </si>
  <si>
    <t>TL-odbiornik dimLED PR RGB1</t>
  </si>
  <si>
    <t>TL-přijímač dimLED PR RGB2</t>
  </si>
  <si>
    <t>TL-prijímač dimLED PR RGB2</t>
  </si>
  <si>
    <t>TL-dimLED PR RGB2 vevőegység</t>
  </si>
  <si>
    <t>Odbiornik TL przyciemniany PR RGB2</t>
  </si>
  <si>
    <t>TL-přijímač dimLED PR RGBW2</t>
  </si>
  <si>
    <t>TL-prijímač dimLED PR RGBW2</t>
  </si>
  <si>
    <t>TL-připojovací RGBW kabel 15 cm</t>
  </si>
  <si>
    <t>TL-pripájací RGBW kábel 15 cm</t>
  </si>
  <si>
    <t>StrongLumio RGBW csatlakozó kábel gyorscsatlakozóval, 15cm</t>
  </si>
  <si>
    <t>TL-Kabel RGBW 15cm</t>
  </si>
  <si>
    <t>V-koncovky k liště Groove 10 černá (pár) (516780)</t>
  </si>
  <si>
    <t>V-koncovky k lište Groove 10 čierna (pár)</t>
  </si>
  <si>
    <t>V-végzár.prof.Groove 10 fekete (pár)</t>
  </si>
  <si>
    <t>V-StrongLumio końcówki do listwy Groove 10 czar. (para)</t>
  </si>
  <si>
    <t>V-koncovky k liště Surface černá (pár) (516777)</t>
  </si>
  <si>
    <t>V-koncovky k lište Surface čierna (pár)</t>
  </si>
  <si>
    <t>V-végzár.prof.Surface fekete (pár)</t>
  </si>
  <si>
    <t>V-StrongLumio końcówki do listwy Surface czarn. para</t>
  </si>
  <si>
    <t>V-LED světlo 600mm s vypínačem Kitzberger neutrální bílá</t>
  </si>
  <si>
    <t>V-LED svetlo 600mm s vypínačom Kitzberger</t>
  </si>
  <si>
    <t>V-LED lámpa 600 mm-es Kitzberger kapcsolóval</t>
  </si>
  <si>
    <t>V-LED Lampa  600mm z włącznikiem Kitzberger neutralna biel</t>
  </si>
  <si>
    <t>V-LED světlo B2B 1444mm Corner vypínač neutrální bílá, trafo 30W</t>
  </si>
  <si>
    <t>V-LED světlo B2B 1925mm Corner vypínač neutrální bílá, trafo 30W</t>
  </si>
  <si>
    <t>V-LED světlo B2B 962mm Corner vypínač neutrální bílá, trafo 18W</t>
  </si>
  <si>
    <t>V-LED světlo MBG Sada 1, Groove 2x 940mm, studená bílá, trafo 30W</t>
  </si>
  <si>
    <t>V-LED světlo MBG Sada 2, Groove 2x 940mm+1x 1138mm, studená bílá, trafo 60W</t>
  </si>
  <si>
    <t>V-LED světlo MBG Sada 4, Smart10 2x 475mm+1x 575mm, studená bílá, trafo 30W</t>
  </si>
  <si>
    <t>V-MEAN WELL napájecí zdroj HLG-320H-24-A, 24V, 320W, IP67 (482686)</t>
  </si>
  <si>
    <t>Napájací zdroj MEAN WELL HLG-320H-24-A, 24V, 320W, IP67</t>
  </si>
  <si>
    <t>Zasilacz MEAN WELL HLG-320H-24-A, 24V, 320W, IP67</t>
  </si>
  <si>
    <t>V-MEAN WELL napájecí zdroj XLG-150-24-A, 24V, 150W, IP67 (482670)</t>
  </si>
  <si>
    <t>V-Napájací zdroj MEAN WELL XLG-150-24-A, 24V, 150W, IP67</t>
  </si>
  <si>
    <t>V-MEAN WELL tápegység, XLG-150-24-A, 24V, 150W, IP67</t>
  </si>
  <si>
    <t>V-Zasilacz MEAN WELL XLG-150-24-A, 24V, 150W, IP67</t>
  </si>
  <si>
    <t>V-MEAN WELL napájecí zdroj XLG-200-24-A, 24V, 200W, IP67 (482683)</t>
  </si>
  <si>
    <t>V-MEAN WELL napájací zdroj  XLG-200-24-A, 24V, 200W, IP67 (482683)</t>
  </si>
  <si>
    <t>V-MEAN WELL tápegység XLG-200-24-A, 24 V, 200 W, IP67 (482683)</t>
  </si>
  <si>
    <t>Zasilacz impulsowy MEAN WELL XLG-200-24-A, 24V, 200W, IP67</t>
  </si>
  <si>
    <t>V-napájecí zdroj MEAN WELL XLG-200-12-A, 12V, 200W, IP67 (482682)</t>
  </si>
  <si>
    <t>V-napájací zdroj MEAN WELL XLG-200-12-A, 12V, 200W, IP67</t>
  </si>
  <si>
    <t>V-MEAN WELL tápegység,  XLG-200-12-A, 12V, 200W, IP67</t>
  </si>
  <si>
    <t>V-zasilacz MEAN WELL XLG-200-12-A, 12V, 200W, IP67</t>
  </si>
  <si>
    <t>V-SAL rozvaděč LED 6x Mini konektor Jack 0,5m (285093)</t>
  </si>
  <si>
    <t>V-SAL rozvádzač LED 6xMINI konektor Jack 0,5m</t>
  </si>
  <si>
    <t>V-SAL elosztó LED 6x Mini csatlakozó Jack 0,5m</t>
  </si>
  <si>
    <t>V-SAL rozgałęźnik LED 6x Mini konektor Jack 0,5m</t>
  </si>
  <si>
    <t>V-SAL-rozvaděč LED 6x MINI - konektor MINI 0,25m (356328)</t>
  </si>
  <si>
    <t>V-SAL rozvaděč LED 6x Mini konektor Mini 0,25m</t>
  </si>
  <si>
    <t>V-SAL elosztó LED 6x Mini csatlakozó Mini 0,25m</t>
  </si>
  <si>
    <t>V-SAL rozgałęźnik LED 6x Mini konektor Mini 0,25m</t>
  </si>
  <si>
    <t>V-STRONG plus LED pásek 6W/m 24V CC CRI90 bílá neutrální 120 LED/m (355847)</t>
  </si>
  <si>
    <t>V-StrongLumio LED pásik 6W/m 24V CC CRI90 biela neutrálna 120 LED/m</t>
  </si>
  <si>
    <t>V-STRONG plus LED szalag 6W/m 24V CC CRI90 semleges fehér 120 LED/m</t>
  </si>
  <si>
    <t>V-StrongLumio taśma LED 6W/m 24V CC CRI90 biała neutralna 120 LED/m</t>
  </si>
  <si>
    <t>V-StrongLumio All in One unit 24V 100W (RGBCCT) (486293)</t>
  </si>
  <si>
    <t>V-StrongLumio All in One unit 24V 100W (RGBCCT)</t>
  </si>
  <si>
    <t>V-StrongLumio All in One unit 24V 100W (stmívání) (486289)</t>
  </si>
  <si>
    <t>V-StrongLumio All in One unit 24V 100W (stmievanie) (486289)</t>
  </si>
  <si>
    <t>V-StrongLumio All in One unit 24V 100W (fényerőszabályzás) (486289)</t>
  </si>
  <si>
    <t>V-StrongLumio All in One unit 24V 100W (ściemniacz) (486289)</t>
  </si>
  <si>
    <t>V-StrongLumio bezdotykový senzor do profilu CCT 12-24V 8A (405195)</t>
  </si>
  <si>
    <t>V-StrongLumio bezdotykový senzor do profilu CCT 12-24V 8A</t>
  </si>
  <si>
    <t>V-StrongLumio érintésmentes érzékelő CCT profilhoz 12-24V 8A (405195)</t>
  </si>
  <si>
    <t>V-StrongLumio bezdotykový vypínač plast 12-24V 4A konektory Mini (374370)</t>
  </si>
  <si>
    <t>V-StrongLumio bezdotykový vypínač plast 12-24V 4A konektory Mini</t>
  </si>
  <si>
    <t>V-StrongLumio bezdrátový vypínač samonapájecí - 2 tlačítka bílá</t>
  </si>
  <si>
    <t>V-StrongLumio bezdrôtový vypínač samonapájací - 2 tlačidlá, biela</t>
  </si>
  <si>
    <t>V-StrongLumio öntápláló vezetéknélküli kapcsoló - fehér, kettő gombos</t>
  </si>
  <si>
    <t>V-StrongLumio Bezprzewodowy wyłącznik samozasilający - 2 przyciski biały</t>
  </si>
  <si>
    <t>V-StrongLumio bezdrátový vypínač samonapájecí - bílá, 1 tlačítko (467125)</t>
  </si>
  <si>
    <t>V-StrongLumio bezdrôtový vypínač samonapájací - biela, 1 tlačítko</t>
  </si>
  <si>
    <t>V-StrongLumio  Bezprzewodowy włącznik samozasilający - biały, 1 przycisk</t>
  </si>
  <si>
    <t>V-StrongLumio bezdrátový vypínač samonapájecí - černá, 1 tlačítko (491230)</t>
  </si>
  <si>
    <t>V-StrongLumio bezdrátový vypínač samonapájací - čierná, 1 tlačítko</t>
  </si>
  <si>
    <t>V-StrongLumio öntápláló vezetéknélküli kapcsoló - fekete, egy gombos</t>
  </si>
  <si>
    <t>V-StrongLumio Bezprzewodowy włącznik  samozasilający - czarny, 1 przycisk</t>
  </si>
  <si>
    <t>V-StrongLumio bezdrátový vypínač samonapájecí - stříbrná, 1 tlačítko (467129)</t>
  </si>
  <si>
    <t>V-StrongLumio bezdrôtový vypínač samonapájací - strieborná, 1 tlačítko</t>
  </si>
  <si>
    <t>V-StrongLumio  Bezprzewodowy włącznik samozasilający - srebrny, 1 przyc</t>
  </si>
  <si>
    <t>V-StrongLumio bezdrátový vypínač samonapájecí - stříbrná, 2 tlačítka (467131)</t>
  </si>
  <si>
    <t>V-StrongLumio bezdrôtový vypínač samonapájací - strieborná, 2 tlačítka</t>
  </si>
  <si>
    <t>V-StrongLumio öntápláló vezetéknélküli kapcsoló - ezüst, kettő gombos</t>
  </si>
  <si>
    <t>V-STRONG  Bezprzewodowy włącznik samozasilający - srebrny, 2 przyciski</t>
  </si>
  <si>
    <t>V-StrongLumio bezdrátový vypínač samonapájecí - zlatá, 2 tlačítka (467130)</t>
  </si>
  <si>
    <t>V-StrongLumio bezdrôtový vypínač samonapájací - zlatá, 2 tlačítka</t>
  </si>
  <si>
    <t>V-StrongLumio  Bezprzewodowy włącznik samozasilający - złoty, 2 przycis</t>
  </si>
  <si>
    <t>V-StrongLumio čidlo pro vypínač/dveřní senzor bílý (342520)</t>
  </si>
  <si>
    <t>V-StrongLumio čidlo pre vypínač/dverny senzor biely</t>
  </si>
  <si>
    <t>V-STRONG érzékelő kapcsoló/mozgásérzékelőhöz ajtóba fehér</t>
  </si>
  <si>
    <t>V-StrongLumio czujnik do wyłacznika/biały</t>
  </si>
  <si>
    <t>V-StrongLumio čidlo pro vypínač/dveřní senzor černý (342519)</t>
  </si>
  <si>
    <t>V-StrongLumio čidlo pre vypínač/dverny senzor čierny</t>
  </si>
  <si>
    <t>V-STRONG érzékelő kapcsoló/mozgásérzékelőhöz ajtóba fekete</t>
  </si>
  <si>
    <t>V-StrongLumio czujnik do wyłacznika/czarny</t>
  </si>
  <si>
    <t>V-StrongLumio dálkový ovladač otočný DIM/CCT/RGB/RGBW - 1 zóna (467120)</t>
  </si>
  <si>
    <t>V-StrongLumio diaľkový ovládač otočný CCT/RGB/RGBW/RGBCCT - 1 zóna</t>
  </si>
  <si>
    <t>STRONG Lumio távirányító forgó DIM/CCT/RGB/RGBW/RGBCCT - 1 zóna</t>
  </si>
  <si>
    <t>StrongLumio pilot obrotowy - 1 strefa</t>
  </si>
  <si>
    <t>V-StrongLumio dálkový ovladač RF univerzální 2 v 1 (467118)</t>
  </si>
  <si>
    <t>V-StrongLumio dálkový ovládač RF univerzální 2 v 1</t>
  </si>
  <si>
    <t>V-StrongLumio pilot RF uniwrrsalny 2 w 1</t>
  </si>
  <si>
    <t>V-StrongLumio dálkový ovladač RF univerzální 5 v 1 (405206)</t>
  </si>
  <si>
    <t>V-StrongLumio dálkový ovládač RF univerzální 5 v 1</t>
  </si>
  <si>
    <t>V-StrongLumio dotykový senzor s pružinou do profilu 12-24V 8A (342513)</t>
  </si>
  <si>
    <t>V-StrongLumio dotykový senzor do profilu 12-24V, 8A</t>
  </si>
  <si>
    <t>V-STRONG érintési mozgásérzékelő profilba 12-24V 8A</t>
  </si>
  <si>
    <t>V-StrongLumio dotykowy wyłącznik do profilu 12-24V 8A</t>
  </si>
  <si>
    <t>V-StrongLumio dveřní senzor alu 12/24V 48/96W 4A bílý konektory Mini (405915)</t>
  </si>
  <si>
    <t>V-StrongLumio dverný senzor alu 12/24V 48/96W 4A biele konektory Mini</t>
  </si>
  <si>
    <t>V-StrongLumio alu ajtóérzékelő, 12/24V 48/96W 4A ,Mini csatlakozókkal, fehér</t>
  </si>
  <si>
    <t>V-StrongLumio wyłacznik drzwiowy alu 12/24V 48/96W 4A konektory Mini</t>
  </si>
  <si>
    <t>V-StrongLumio dveřní senzor alu 12/24V 48/96W 4A černý konektory Mini (405916)</t>
  </si>
  <si>
    <t>V-StrongLumio dverný senzor alu 12/24V 48/96W 4A čierne konektory Mini</t>
  </si>
  <si>
    <t>V-StrongLumio alu ajtóérzékelő, 12/24V 48/96W 4A ,Mini csatlakozókkal, fekete</t>
  </si>
  <si>
    <t>V-STRONG wyłacznik drzwiowy alu 12/24V 48/96W 4A konektory Mini</t>
  </si>
  <si>
    <t>V-StrongLumio dveřní senzor alu 12/24V 48/96W 4A konektory Mini (342514)</t>
  </si>
  <si>
    <t>V-StrongLumio dverový senzor alu 12/24V 48/96W 4A konektory Mini</t>
  </si>
  <si>
    <t>V-STRONG mozgásérzékelő ajtóba alu 12/24V 48/96W 4A csatlakozó Mini</t>
  </si>
  <si>
    <t>V-StrongLumio dveřní senzor plast,12-24V,4A,konektory Mini, bílá (374369)</t>
  </si>
  <si>
    <t>V-StrongLumio dverový senzor plast,12-24V,4A,konektory Mini</t>
  </si>
  <si>
    <t>V-STRONG érzékelő ajtóra műanyag,12-24V,4A, Mini csatlakozók</t>
  </si>
  <si>
    <t>V-StrongLumio Dvojlinka 2x0,5mm 2 20AWG bílo-červená (465852)</t>
  </si>
  <si>
    <t>V-StrongLumio Dvojlinka 2x0,5mm 2 20AWG</t>
  </si>
  <si>
    <t>V-StrongLumio Kettes kábel 2x0,5mm 2 20AWG</t>
  </si>
  <si>
    <t>V-StrongLumio Przewód dwużyłowy 2x0,5mm 2 20AWG</t>
  </si>
  <si>
    <t>V-StrongLumio Dvojlinka 2x0,5mm2 20AWG červeno-černá (347904)</t>
  </si>
  <si>
    <t>V-StrongLumio Kettes kábel 2x0,5mm 2 20AWG piros-fekete (347904)</t>
  </si>
  <si>
    <t>V-StrongLumio Przewód dwużyłowy 2x0,5mm 2 20AWG czerwono-czarny (347904)</t>
  </si>
  <si>
    <t>V-StrongLumio flexibilní dotykový vypínač/stmívač do alu profilu (507818)</t>
  </si>
  <si>
    <t>V-StrongLumio flexibilný dotykový vypínač/stmievač do alu profilu</t>
  </si>
  <si>
    <t>V-StrongLumio rugalmas érintőkapcsoló/dimmer alumínium profilhoz</t>
  </si>
  <si>
    <t>V-StrongLumio elastyczny dotykowy wyłącznik/ściemniacz do profili aluminiowych</t>
  </si>
  <si>
    <t>V-StrongLumio koncovka k profilu Mikro (pár) (230845)</t>
  </si>
  <si>
    <t>V-StrongLumio koncovka k profilu Mikro (pár)</t>
  </si>
  <si>
    <t>V-végz.profilhoz Mikro  (pár)</t>
  </si>
  <si>
    <t>V-StrongLumio końcówka k profilu Mikro  (para)</t>
  </si>
  <si>
    <t>V-StrongLumio koncovka pro LED pásek neon, bez otvoru (405477)</t>
  </si>
  <si>
    <t>V-StrongLumio koncovka pre LED pásik neon bez otvoru</t>
  </si>
  <si>
    <t>V-STRONG végzáró csatlakozó neon LED szalaghoz nyílás nélkül</t>
  </si>
  <si>
    <t>V-StrongLumio koncówka do taśmy LED Neon bez otworu na kable</t>
  </si>
  <si>
    <t>V-StrongLumio koncovka pro LED profil Arbona (405213)</t>
  </si>
  <si>
    <t>V-StrongLumio koncovka pre LED profil Arbona</t>
  </si>
  <si>
    <t>V-STRONG végzáró Arbona LED-profilhoz</t>
  </si>
  <si>
    <t>V-StrongLumio końcówka do profilu LED Arbona</t>
  </si>
  <si>
    <t>V-StrongLumio koncovka pro LED profil Ormio (342523)</t>
  </si>
  <si>
    <t>V-StrongLumio koncovka pre LED profil Ormio</t>
  </si>
  <si>
    <t>V-STRONG végzáró LED-hez profil Ormio</t>
  </si>
  <si>
    <t>V-StrongLumio końcówka do LED profilu Ormio</t>
  </si>
  <si>
    <t>V-StrongLumio koncovka pro silikonový profil 8x16mm, bez otvoru (406054)</t>
  </si>
  <si>
    <t>V-StrongLumio koncovka pre silikonový profil 8x16mm bez otvoru</t>
  </si>
  <si>
    <t>V-STRONG végzáró sapka 8x16mm-es szilikon profilhoz lyuk nélkül</t>
  </si>
  <si>
    <t>V-StrongLumio końcówka do silikonowego profilu 8x16mm bez otworu</t>
  </si>
  <si>
    <t>V-StrongLumio koncovky k liště ARC půlkulaté (pár) šedá (343064)</t>
  </si>
  <si>
    <t>V-StrongLumio koncovky k lište ARC polkruhové (pár)</t>
  </si>
  <si>
    <t>V-TM-végzáró profilhoz ARC félgömbölyű (pár)</t>
  </si>
  <si>
    <t>V-StrongLumio końcówki do listwy ARC półokrągłe (para)</t>
  </si>
  <si>
    <t>V-StrongLumio koncovky k liště ARC rovné (pár)</t>
  </si>
  <si>
    <t>V-StrongLumio koncovky k lište ARC rovne (pár)</t>
  </si>
  <si>
    <t>V-TM-végzáró profilhoz ARC egyenes (pár)</t>
  </si>
  <si>
    <t>V-StrongLumio końcówki do listwy ARC rovné (para)</t>
  </si>
  <si>
    <t>V-StrongLumio koncovky k liště Begtin 12 bílá (pár) (285039)</t>
  </si>
  <si>
    <t>V-StrongLumio koncovky k lište BEGTIN biela (pár)</t>
  </si>
  <si>
    <t>V-TM-végzáró profilhoz Begtin fehér (pár)</t>
  </si>
  <si>
    <t>V-StrongLumio końcówki do listwy Begtin białe (para)</t>
  </si>
  <si>
    <t>V-StrongLumio koncovky k liště Begtin 12 černá (pár) (285040)</t>
  </si>
  <si>
    <t>V-StrongLumio koncovky k lište BEGTIN čierna (pár)</t>
  </si>
  <si>
    <t>V-TM-végzáró profilhoz Begtin fekete (pár)</t>
  </si>
  <si>
    <t>V-StrongLumio końcówki do listwy Begtin czarne (para)</t>
  </si>
  <si>
    <t>V-StrongLumio koncovky k liště Begtin 12 šedá (pár) (285038)</t>
  </si>
  <si>
    <t>V-StrongLumio koncovky k lište BEGTIN sivá (pár)</t>
  </si>
  <si>
    <t>V-TM-végzáró profilhoz Begtin szürke (pár)</t>
  </si>
  <si>
    <t>V-StrongLumio końcówki do listwy Begtin szare (para)</t>
  </si>
  <si>
    <t>V-StrongLumio koncovky k liště Begton bílá (pár) (285046)</t>
  </si>
  <si>
    <t>V-StrongLumio koncovky k lište BEGTON biela (pár)</t>
  </si>
  <si>
    <t>V-TM-végzáró profilhoz Begton fehér (pár)</t>
  </si>
  <si>
    <t>V-StrongLumio końcówki do listwy Begton białe (para)</t>
  </si>
  <si>
    <t>V-StrongLumio koncovky k liště Begton černá (pár) (285047)</t>
  </si>
  <si>
    <t>V-StrongLumio koncovky k lište BEGTON čierna (pár)</t>
  </si>
  <si>
    <t>V-TM-végzáró profilhoz Begton fekete (pár)</t>
  </si>
  <si>
    <t>V-StrongLumio końcówki do listwy Begton czarne (para)</t>
  </si>
  <si>
    <t>V-StrongLumio koncovky k liště Begton šedá (pár) (285045)</t>
  </si>
  <si>
    <t>V-StrongLumio koncovky k lište BEGTON sivá (pár)</t>
  </si>
  <si>
    <t>V-TM-végzáró profilhoz Begton szürke (pár)</t>
  </si>
  <si>
    <t>V-StrongLumio końcówki do listwy Begton szare (para)</t>
  </si>
  <si>
    <t>V-StrongLumio koncovky k liště Cabi černá (pár) (315781)</t>
  </si>
  <si>
    <t>V-StrongLumio koncovky k liště Cabi černá (pár)</t>
  </si>
  <si>
    <t>V-TM-végzáró Cabi profilhoz fekete (pár)</t>
  </si>
  <si>
    <t>V-StrongLumio końcówki do listwy Cabi czarne (para)</t>
  </si>
  <si>
    <t>V-StrongLumio koncovky k liště Cabi šedá (pár) (285085)</t>
  </si>
  <si>
    <t>V-StrongLumio koncovky k lište Cabi sivá (pár)</t>
  </si>
  <si>
    <t>V-TM-végzáró Cabi profilhoz szürke (pár)</t>
  </si>
  <si>
    <t>V-StrongLumio końcówki do listwy Cabi szare (para)</t>
  </si>
  <si>
    <t>V-StrongLumio koncovky k liště Corner 10 bílá (pár) (517412)</t>
  </si>
  <si>
    <t>V-StrongLumio koncovky k lište Corner biela (pár)</t>
  </si>
  <si>
    <t>V-TM-végzáró profilhoz Corner fehér (pár)</t>
  </si>
  <si>
    <t>V-StrongLumio końcówki do listwy Corner białe (para)</t>
  </si>
  <si>
    <t>V-StrongLumio koncovky k liště Corner 10 černá (pár) (517342)</t>
  </si>
  <si>
    <t>V-koncovky k lište Corner čierna (pár)</t>
  </si>
  <si>
    <t>V-végzár.prof.Corner fekete (pár)</t>
  </si>
  <si>
    <t>V-StrongLumio końcówki do listwy Corner czar. (para)</t>
  </si>
  <si>
    <t>V-StrongLumio koncovky k liště Corner 10 šedá (pár) (516791)</t>
  </si>
  <si>
    <t>V-StrongLumio KONCOVKY K LED LIŠTE CORNER (PÁR)</t>
  </si>
  <si>
    <t>V-TM-VÉGZÁRÓ LED CSÍK-hoz CORNER (PÁR)</t>
  </si>
  <si>
    <t>V-StrongLumio ZAKOŃCZ. DO LED PROF.CORNER (KOMP.)</t>
  </si>
  <si>
    <t>V-StrongLumio koncovky k liště Groove 10 bílá kulatá (pár) (516781)</t>
  </si>
  <si>
    <t>V-StrongLumio koncovky k lište Groove 10 biela (pár)</t>
  </si>
  <si>
    <t>V-TM-végzáró Groove 10 profilhoz fehér (pár)</t>
  </si>
  <si>
    <t>V-StrongLumio końcówki do listwy Groove 10 białe (para)</t>
  </si>
  <si>
    <t>V-StrongLumio koncovky k liště Groove 10 rovná šedá (pár) (472101)</t>
  </si>
  <si>
    <t>V-StrongLumio Koncovky k lište Groove 10 šedá rovná (pár)</t>
  </si>
  <si>
    <t>V-StrongLumio végzáró LED profilhoz Groove 10 szürke egyenes (pár)</t>
  </si>
  <si>
    <t>V-StrongLumio końcówki do listwy Groove 10 szara prosta (para)</t>
  </si>
  <si>
    <t>V-StrongLumio koncovky k liště Groove 10 šedá kulatá (pár) (516779)</t>
  </si>
  <si>
    <t>V-StrongLumio KONCOVKY K LED LIŠTE GROOVE 10(PÁR)</t>
  </si>
  <si>
    <t>V-TM-VÉGZÁRÓ LED CSÍK-hoz GROOVE 10 (PÁR)</t>
  </si>
  <si>
    <t>V-StrongLumio ZAKOŃCZ. DO LED PROF.GROOVE 10 (KOMP.)</t>
  </si>
  <si>
    <t>V-StrongLumio koncovky k liště Slim bílá (pár) (285032)</t>
  </si>
  <si>
    <t>V-StrongLumio koncovky k lište Slim biela (pár)</t>
  </si>
  <si>
    <t>V-TM-végzáró profilhoz Slim fehér (pár)</t>
  </si>
  <si>
    <t>V-StrongLumio końcówki do listwy Slim białe (para)</t>
  </si>
  <si>
    <t>V-StrongLumio koncovky k liště Slim černá (pár)</t>
  </si>
  <si>
    <t>V-StrongLumio koncovky k lište slim čierna (pár)</t>
  </si>
  <si>
    <t>V-TM-végzáró profilhoz Slim fekete (pár)</t>
  </si>
  <si>
    <t>V-StrongLumio końcówki do listwy Slim czarne (para)</t>
  </si>
  <si>
    <t>V-StrongLumio koncovky k liště Surface 10 bílá (pár) (516778)</t>
  </si>
  <si>
    <t>V-StrongLumio koncovky k lište Surface biela (pár)</t>
  </si>
  <si>
    <t>V-TM-végzáró profilhoz Surface fehér (pár)</t>
  </si>
  <si>
    <t>V-StrongLumio końcówki do listwy Surface białe (para)</t>
  </si>
  <si>
    <t>V-StrongLumio koncovky k liště Surface 10 šedá (pár) (516767)</t>
  </si>
  <si>
    <t>V-StrongLumio KONCOVKY K LED LIŠTE SURFACE (PÁR)</t>
  </si>
  <si>
    <t>V-TM-VÉGZÁRÓ LED CSÍK-hoz SURFACE (PÁR)</t>
  </si>
  <si>
    <t>V-StrongLumio ZAKOŃCZ. DO LED PROF.SURFACE(KOMP.)</t>
  </si>
  <si>
    <t>V-StrongLumio koncovky k profilu Begton 12 oblá šedá (pár) (405277)</t>
  </si>
  <si>
    <t>V-StrongLumio Koncovky k lište Begton oblá šedá (pár)</t>
  </si>
  <si>
    <t>V-StrongLumio végzáró LED profilhoz Begton kerekített alakú szürke (pár)</t>
  </si>
  <si>
    <t>V-StrongLumio końcówki do listwy Begton 12 okrągłe szare (para)</t>
  </si>
  <si>
    <t>V-StrongLumio koncovky k profilu Cabi bílá (pár) (469095)</t>
  </si>
  <si>
    <t>V-StrongLumio-koncovky k profilu Cabi biela (pár)</t>
  </si>
  <si>
    <t>V-StrongLumio végzáró LED profilhoz Cabi fehér (pár)</t>
  </si>
  <si>
    <t>V-StrongLumio końcówki do listwy Cabi białe (para)</t>
  </si>
  <si>
    <t>V-StrongLumio koncovky k profilu Slim šedá (pár) (215852)</t>
  </si>
  <si>
    <t>V-StrongLumio koncovka k profilu Slim sivá (pár)</t>
  </si>
  <si>
    <t>V-TM-végzáró Slim profilhoz szürke (pár)</t>
  </si>
  <si>
    <t>V-StrongLumio końcówka do profilu Slim  (para)</t>
  </si>
  <si>
    <t>V-StrongLumio krycí lišta Begtin/Begton naklap./výsuvná mléčná 2000mm (285052)</t>
  </si>
  <si>
    <t>V-StrongLumio krycia lišta Begtin/Begton mlieč.2000mm</t>
  </si>
  <si>
    <t>V-TM-takaró profil Begtin/Begton rápattintható/kihúzható tejfehér 2000mm</t>
  </si>
  <si>
    <t>V-StrongLumio listwa maskująca Begtin/Begton wciskana/nasuwana mleczna 2000mm</t>
  </si>
  <si>
    <t>V-StrongLumio krycí lišta Begtin/Begton naklap/výsuvná průsvitná 2000mm (285053)</t>
  </si>
  <si>
    <t>V-StrongLumio krycia lišta Begtin/Begton pries. 2000mm</t>
  </si>
  <si>
    <t>V-TM-takaró profil Begtin/Begton rápattintható/kihúzható transzparens 2000mm</t>
  </si>
  <si>
    <t>V-StrongLumio listwa maskująca Begtin/Begton wciskana/nasuwana przeźroczysta 200</t>
  </si>
  <si>
    <t>V-StrongLumio krycí lišta Begtin/Begton naklap/výsuvná průsvitná 3000mm (285055)</t>
  </si>
  <si>
    <t>V-StrongLumio krycia lišta Begtin/Begton priesv. 3000mm</t>
  </si>
  <si>
    <t>V-TM-takaró profil Begtin/Begton rápattintható/kihúzható transzparens 3000mm</t>
  </si>
  <si>
    <t>V-StrongLumio listwa maskująca Begtin/Begton wciskana/nasuwana przeźroczysta 300</t>
  </si>
  <si>
    <t>V-StrongLumio krycí lišta C k LED profilům naklapávací černá 1000mm (416702)</t>
  </si>
  <si>
    <t>V-StrongLumio krycia lišta k LED profilom naklapavacia čierna 1000mm</t>
  </si>
  <si>
    <t>V-TM-takaró léc LED profilokhoz rápattintható fekete 1000mm</t>
  </si>
  <si>
    <t>V-StrongLumio listwa maskująca do LED profili wciskana czarna 1000mm</t>
  </si>
  <si>
    <t>V-StrongLumio krycí lišta C k LED profilům naklapávací černá 2000mm (416707)</t>
  </si>
  <si>
    <t>V-StrongLumio krycia lišta k LED profilom naklapavacia čierna 2000mm</t>
  </si>
  <si>
    <t>V-TM-takaró léc LED profilokhoz rápattintható fekete 2000mm</t>
  </si>
  <si>
    <t>V-StrongLumio listwa maskująca do LED profili wciskana czarna 2000mm</t>
  </si>
  <si>
    <t>V-StrongLumio krycí lišta C k LED profilům naklapávací černá 3000mm (416709)</t>
  </si>
  <si>
    <t>V-StrongLumio krycia lišta k LED profilu naklapávacia čiarna 3000mm</t>
  </si>
  <si>
    <t>V-TM-takaró profil LED profilokhoz rápattintható fekete szín 3000mm</t>
  </si>
  <si>
    <t>V-StrongLumio listwa maskująca do LED profili wciskana czarna 3000mm</t>
  </si>
  <si>
    <t>V-StrongLumio krycí lišta C k LED profilům naklapávací černá 4100mm (416710)</t>
  </si>
  <si>
    <t>V-StrongLumio krycia lišta k LED profilom naklapávacia čiarna 4100mm</t>
  </si>
  <si>
    <t>V-TM-takaró léc LED profilokhoz rápattintható fekete 4100mm</t>
  </si>
  <si>
    <t>V-StrongLumio listwa maskująca do LED profili wciskana czarna 4100mm</t>
  </si>
  <si>
    <t>V-StrongLumio krycí lišta C k LED profilům naklapávací mléčná 1000mm (221007)</t>
  </si>
  <si>
    <t>V-StrongLumio krycia lišta k LED profilom naklapávacia mliečna 1000mm</t>
  </si>
  <si>
    <t>V-TM-takaró profil LED profilokhoz rápattintható tejfehér szín 1000mm</t>
  </si>
  <si>
    <t>V-StrongLumio listwa maskująca do LED profili wciskana mleczna 1000mm</t>
  </si>
  <si>
    <t>V-StrongLumio krycí lišta C k LED profilům naklapávací mléčná 2000mm (221008)</t>
  </si>
  <si>
    <t>V-StrongLumio krycia lišta k LED profilom naklapávacia mliečna 2000mm</t>
  </si>
  <si>
    <t>V-TM-takaró profil LED profilokhoz rápattintható tejfehér szín 2000mm</t>
  </si>
  <si>
    <t>V-StrongLumio listwa maskująca do LED profili wciskana mleczna 2000mm</t>
  </si>
  <si>
    <t>V-StrongLumio krycí lišta C k LED profilům naklapávací mléčná 3000mm (233554)</t>
  </si>
  <si>
    <t>V-StrongLumio krycia lišta k LED profilom naklapávacia mliečna 3000mm (233554)</t>
  </si>
  <si>
    <t>V-tak.pro.ráp.LED prof.tejsz.3000 mm (233554)</t>
  </si>
  <si>
    <t>V-StrongLumio lis.mas.nakl.do LED prof.mlecz.3000mm  (233554)</t>
  </si>
  <si>
    <t>V-StrongLumio krycí lišta C k LED profilům naklapávací mléčná 4100mm (269801)</t>
  </si>
  <si>
    <t>V-StrongLumio kr.liš.naklap.k LED prof.mlieč.4100mm</t>
  </si>
  <si>
    <t>V-TM-takaró profil LED profilokhoz rápattintható tejfehér szín 4100mm</t>
  </si>
  <si>
    <t>V-StrongLumio listwa maskująca do LED profili wciskana mleczna 4100mm</t>
  </si>
  <si>
    <t>V-StrongLumio krycí lišta C k LED profilům naklapávací průsvitná 1000mm (198516)</t>
  </si>
  <si>
    <t>V-StrongLumio KRYCIA LIŠTA K LED PROF.NAKLAPÁV.1M</t>
  </si>
  <si>
    <t>V-TM-TAKARÓ PRO.RÁPAT.LED PRO.TRANS.1M</t>
  </si>
  <si>
    <t>V-StrongLumio LIST.MAS. NAC. DO LED PRO.PRZEŹ.1M</t>
  </si>
  <si>
    <t>V-StrongLumio krycí lišta C k LED profilům naklapávací průsvitná 2000mm (198517)</t>
  </si>
  <si>
    <t>V-TM-TAKARÓ PRO.RÁPAT.LED PRO.TRANS.2M</t>
  </si>
  <si>
    <t>V-StrongLumio LIST.MAS. NAC. DO LED PRO.PRZEŹ.2M</t>
  </si>
  <si>
    <t>V-StrongLumio krycí lišta C k LED profilům naklapávací průsvitná 3000mm (244352)</t>
  </si>
  <si>
    <t>V-StrongLumio kr.liš.naklap.k LED prof.priesv.3000mm</t>
  </si>
  <si>
    <t>V-ráp.tak.pro. LED prof.átl.3000 mm</t>
  </si>
  <si>
    <t>V-StrongLumio lis.mas.nakl.do LED prof.przez.3000mm</t>
  </si>
  <si>
    <t>V-StrongLumio krycí lišta C k LED profilům naklapávací průsvitná 4100mm (252279)</t>
  </si>
  <si>
    <t>V-StrongLumio krycia lišta k LED profilom naklapávacia priesvitnák 4100mm</t>
  </si>
  <si>
    <t>V-TM-takaró profil LED profilokhoz rápattintható transzparens 4100mm</t>
  </si>
  <si>
    <t>V-StrongLumio listwa maskująca do LED profili wciskana przeźroczysta 4100mm</t>
  </si>
  <si>
    <t>V-StrongLumio krycí lišta C2 k profilu Slim/Smart10 naklapávací mléčná 2000mm</t>
  </si>
  <si>
    <t>V-StrongLumio listwa maskująca do profilu Slim/Smart10/Smart-In10 wciskana mlecz</t>
  </si>
  <si>
    <t>V-StrongLumio krycí lišta E k profilu Cabi naklap/výsuvná průsv. 3000mm (469094)</t>
  </si>
  <si>
    <t>V-StrongLumio krycia lišta k profilu Cabi naklápavacia/výsuvná priesvitná 3000mm</t>
  </si>
  <si>
    <t>V-TM-takaró profil Cabi profilhoz befűzős transzparens 3000mm</t>
  </si>
  <si>
    <t>V-StrongLumio listwa maskująca do profilu Cabi nasuwana przeźroczysta 3000mm</t>
  </si>
  <si>
    <t>V-StrongLumio krycí lišta K k profilu Floor naklapávací mléčná 3000mm (367363)</t>
  </si>
  <si>
    <t>V-StrongLumio krycia lišta K k profilu Floor naklapávacia mliečna 3000mm</t>
  </si>
  <si>
    <t>V-StrongLumio takaróprofil Floor LED profilhoz rápattintós tejfehér 3m</t>
  </si>
  <si>
    <t>V-StrongLumio listwa maskująca K do profilu Floor, zatrzaskowa, mleczna, 3000 mm</t>
  </si>
  <si>
    <t>V-StrongLumio krycí lišta k LED profilům násuvná mléčná 1000mm (130642)</t>
  </si>
  <si>
    <t>V-StrongLumio KRYCIA LIŠTA K LED PROF.MLIEČ.1000M</t>
  </si>
  <si>
    <t>V-TM-TAKARÓ PRO.LED PROF-hozTEJF.1000MM</t>
  </si>
  <si>
    <t>V-StrongLumio LISTWA MAS.DO LED PROF.MLECZ.1000MM</t>
  </si>
  <si>
    <t>V-StrongLumio krycí lišta k profilu Cabi naklap/výsuvná mléčná 2000mm (285084)</t>
  </si>
  <si>
    <t>V-StrongLumio krycia lišta k prof.Cabi mliečna 2000mm</t>
  </si>
  <si>
    <t>V-TM-takaró profil Cabi profilhoz befűzős tejfehér 2000mm</t>
  </si>
  <si>
    <t>V-StrongLumio listwa maskująca do profilu Cabi nasuwana mleczna 2000mm</t>
  </si>
  <si>
    <t>V-StrongLumio krycí lišta k profilu Cabi naklap/výsuvná průsvitná2000mm (285083)</t>
  </si>
  <si>
    <t>V-StrongLumio krycia lišta k prof.Cabi priesv.2000mm</t>
  </si>
  <si>
    <t>V-TM-takaró profil Cabi profilhoz befűzős transzparens 2000mm</t>
  </si>
  <si>
    <t>V-StrongLumio listwa maskująca do profilu Cabi nasuwana przeźroczysta 2000mm</t>
  </si>
  <si>
    <t>V-StrongLumio krycí lišta k profilu Slim/Smart10 násuvná mléčná 2000mm (215846)</t>
  </si>
  <si>
    <t>V-StrongLumio krycia lišta k prof.Slim mliečna 20</t>
  </si>
  <si>
    <t>TM-takaró léc prof.Slim tejszí. 2000mm</t>
  </si>
  <si>
    <t>V-StrongLumio listwa mask.do prof.Slim mleczn 2 m</t>
  </si>
  <si>
    <t>V-StrongLumio krycí lišta k profilu Smart/Slim násuvná průsvitná 3000mm (285031)</t>
  </si>
  <si>
    <t>V-StrongLumio krycia lišta k Smart/Slim priesvitná 3000mm</t>
  </si>
  <si>
    <t>V-TM-takaró profil Smart/Slim profilhoz befűzős transzparens 3000mm</t>
  </si>
  <si>
    <t>V-StrongLumio listwa maskująca do profilu Smart/Slim nasuwana przeźroczysta 3000</t>
  </si>
  <si>
    <t>V-StrongLumio LED mechanický vypínač 12/24V do profilů 90W/180W (312317)</t>
  </si>
  <si>
    <t>V-LED mechanický vypínač 12/24V do profilov 90W/180W</t>
  </si>
  <si>
    <t>V-LED mechanikus kapcsoló 12/24V profilba 90W/180W</t>
  </si>
  <si>
    <t>V-LED wyłącznik mechaniczny 12/24V do profilu 90W/180W</t>
  </si>
  <si>
    <t>V-StrongLumio LED pásek 12V COB 10W/m (480 LED/m) - 8mm - studená bílá(509067)</t>
  </si>
  <si>
    <t>V-StrongLumio LED pásik  12V COB 10W/m (480 LED/m) - 8mm - studená biela</t>
  </si>
  <si>
    <t>V-StrongLumio LED szalag 12V COB 10W/m (480 LED/m) - 8mm - hideg fehér</t>
  </si>
  <si>
    <t>V-StrongLumio LED taśma 12V COB 10W/m (480 LED/m) - 8mm - zimny biały</t>
  </si>
  <si>
    <t>V-StrongLumio LED pásek 12V COB 10W/m (480 LED/m) - 8mm - teplá bílá (509065)</t>
  </si>
  <si>
    <t>V-StrongLumio LED pásik  12V COB 10W/m (480 LED/m) - 8mm - teplá biela</t>
  </si>
  <si>
    <t>V-StrongLumio LED szalag 12V COB 10W/m (480 LED/m) - 8mm - meleg fehér</t>
  </si>
  <si>
    <t>V-StrongLumio LED taśma 12V COB 10W/m (480 LED/m) - 8mm - ciepły biały</t>
  </si>
  <si>
    <t>V-StrongLumio LED pásek 12V COB 10W/m (480 LED/m)-8mm-neutrální bílá (509066)</t>
  </si>
  <si>
    <t>V-StrongLumio LED pásik  12V COB 10W/m (480 LED/m) - 8mm - neutrálna biela</t>
  </si>
  <si>
    <t>StrongLumio LED szalag 12V COB 10W/m (480 LED/m) - 8mm - semleges fehér</t>
  </si>
  <si>
    <t>StrongLumio LED taśma 12V COB 10W/m (480 LED/m) - 8mm - neutralny biały</t>
  </si>
  <si>
    <t>V-StrongLumio LED pásek 12W/m (120) 24V bílá neutrální (284561)</t>
  </si>
  <si>
    <t>V-StrongLumio LED pásik 12W/m (120) 24V biela neutrálna</t>
  </si>
  <si>
    <t>V-STRONG LED szalag 12W/m (120) 24V semleges fehér</t>
  </si>
  <si>
    <t>V-StrongLumio taśma LED 12W/m (120) 24V biała neutralna</t>
  </si>
  <si>
    <t>V-StrongLumio LED pásek 12W/m (120) 24V bílá studená (284562)</t>
  </si>
  <si>
    <t>V-StrongLumio LED pásik 12W/m (120) 24V biela studená</t>
  </si>
  <si>
    <t>V-STRONG LED szalag 12W/m (120) 24V hideg fehér</t>
  </si>
  <si>
    <t>V-StrongLumio taśma LED 12W/m (120) 24V zimna biała</t>
  </si>
  <si>
    <t>V-StrongLumio LED pásek 12W/m (120) 24V bílá teplá (284560)</t>
  </si>
  <si>
    <t>V-StrongLumio LED pásik 12W/m (120) 24V biela teplá</t>
  </si>
  <si>
    <t>V-STRONG LED szalag 12W/m (120) 24V meleg fehér</t>
  </si>
  <si>
    <t>V-StrongLumio taśma LED 12W/m (120) 24V ciepła biała</t>
  </si>
  <si>
    <t>V-StrongLumio LED pásek 12W/m 12V bílá neutrální (250030)</t>
  </si>
  <si>
    <t>V-StrongLumio LED pásik 12W/m 12V biela neutrálna</t>
  </si>
  <si>
    <t>V-STRONG LED szalag 12W/m 12V semleges fehér</t>
  </si>
  <si>
    <t>V-StrongLumio taśma LED 12W/m 12V biała neutralna</t>
  </si>
  <si>
    <t>V-StrongLumio LED pásek 12W/m 12V bílá studená (231388)</t>
  </si>
  <si>
    <t>V-StrongLumio LED pásik 12W/m 12V biela studená</t>
  </si>
  <si>
    <t>V-STRONG LED szalag 12W/m 12V hideg fehér</t>
  </si>
  <si>
    <t>V-StrongLumio taśma LED 12W/m 12V zimna biała</t>
  </si>
  <si>
    <t>V-StrongLumio LED pásek 12W/m 12V bílá teplá (231394)</t>
  </si>
  <si>
    <t>V-StrongLumio LED pásik 12W/m 12V biela teplá</t>
  </si>
  <si>
    <t>V-STRONG LED szalag 12W/m 12V meleg fehér</t>
  </si>
  <si>
    <t>V-StrongLumio taśma LED 12W/m 12V ciepła biała</t>
  </si>
  <si>
    <t>V-StrongLumio LED pásek 12W/m 12V bílá teplá IP65 (231401)</t>
  </si>
  <si>
    <t>V-StrongLumio LED pásik 12W/m 12V biela tep.IP65</t>
  </si>
  <si>
    <t>V-STRONG LED szalag 12W/m 12V meleg fehér IP65</t>
  </si>
  <si>
    <t>V-StrongLumio taśma LED 12W/m 12V ciepła biała IP65</t>
  </si>
  <si>
    <t>V-StrongLumio LED pásek 14,4W/m 12V bílá studená (132276)</t>
  </si>
  <si>
    <t>V-StrongLumio LED pásik 14,4W/M12V biela STUDENÁ</t>
  </si>
  <si>
    <t>V-YUS-LED SZAL.14,4W/M 12V FEH.HIDEG</t>
  </si>
  <si>
    <t>V-StrongLumio LED TAŚM.14,4W/M 12V ZIM. BIAŁE</t>
  </si>
  <si>
    <t>V-StrongLumio LED pásek 14,4W/m 12V bílá teplá (157844)</t>
  </si>
  <si>
    <t>V-StrongLumio LED pásik 14,4W/M 12V biela TEPLÁ</t>
  </si>
  <si>
    <t>V-YUS-LED SZAL.14,4W/M 12V FEH.MELEG</t>
  </si>
  <si>
    <t>V-StrongLumio LED TAŚM.14,4W/M 12V CIEP.BIAŁE</t>
  </si>
  <si>
    <t>V-StrongLumio LED pásek 14,4W/m 24V (120 LED/m) RGB IP20 (406139)</t>
  </si>
  <si>
    <t>V-StrongLumio LED pásik 14,4W/m 24V RGB IP20</t>
  </si>
  <si>
    <t>V-STRONG LED szalag 14,4W/m 24V RGB IP20</t>
  </si>
  <si>
    <t>V-StrongLumio taśma LED 14,4W/m 24V RGB IP20</t>
  </si>
  <si>
    <t>V-StrongLumio LED pásek 14,4W/m 24V (60 LED/m) RGBW neutrální bílá (472113)</t>
  </si>
  <si>
    <t>V-StrongLumio LED pásik 14,4W/m 24V (60 LED/m) RGBW neutrálna biela</t>
  </si>
  <si>
    <t>V-StrongLumio taśma LED 14,4W/m 24V (60 LED/m) RGBW neutralny biały</t>
  </si>
  <si>
    <t>V-StrongLumio LED pásek 14,4W/m 24V (60 LED/m) RGBW studená bílá (472114)</t>
  </si>
  <si>
    <t>V-StrongLumio LED pásik 14,4W/m 24V (60 LED/m) RGBW studená biela</t>
  </si>
  <si>
    <t>V-StrongLumio taśma LED 14,4W/m 24V (60 LED/m) RGBW zimny biały</t>
  </si>
  <si>
    <t>V-StrongLumio LED pásek 14,4W/m 24V (60 LED/m) RGBW teplá bílá (393024)</t>
  </si>
  <si>
    <t>V-StrongLumio LED pásek 14,4W/m 24V (60 LED/m) RGBW teplá bílá</t>
  </si>
  <si>
    <t>V-StrongLumio LED pásek 14,4W/m 24V bílá neutrální (284567)</t>
  </si>
  <si>
    <t>V-StrongLumio LED pásik 14,4W/m 24V biela neutrálna</t>
  </si>
  <si>
    <t>V-STRONG LED szalag 14,4W/m 24V semleges fehér</t>
  </si>
  <si>
    <t>V-StrongLumio taśma LED 14,4W/m 24V biała neutralna</t>
  </si>
  <si>
    <t>V-StrongLumio LED pásek 14,4W/m 24V bílá teplá (284566)</t>
  </si>
  <si>
    <t>V-StrongLumio LED pásik 14,4W/m 24V biela teplá</t>
  </si>
  <si>
    <t>V-STRONG LED szalag 14,4W/m 24V meleg fehér</t>
  </si>
  <si>
    <t>V-StrongLumio taśma LED 14,4W/m 24V ciepła biała</t>
  </si>
  <si>
    <t>V-StrongLumio LED pásek 14,4W/m 24V CCT 60 LED/m (405176)</t>
  </si>
  <si>
    <t>V-StrongLumioLumio LED pásik 14,4W/m 24V CCT 60 LED/m</t>
  </si>
  <si>
    <t>STRONG LED szalag 14,4W/m 24V CCT 60 LED/m</t>
  </si>
  <si>
    <t>StrongLumio taśma LED 14,4W/m 24V CCT 60 LED/m</t>
  </si>
  <si>
    <t>V-StrongLumio LED pásek 14,4W/m 24V CRI90 bílá neutrální 120 LED/m (355850)</t>
  </si>
  <si>
    <t>V-StrongLumio LED pásik 14,4W/m 24V CRI90 biela neutrálna 120 LED/m</t>
  </si>
  <si>
    <t>V-STRONG plus LED szalag 14,4W/m 24V CRI90 semleges fehér 120 LED/m</t>
  </si>
  <si>
    <t>V-StrongLumio taśma LED 14,4W/m 24V CRI90 biała neutralna 120 LED/m</t>
  </si>
  <si>
    <t>V-StrongLumio LED pásek 14,4W/m 24V CRI90 bílá studená 120 LED/m (355851)</t>
  </si>
  <si>
    <t>V-StrongLumio LED pásik 14,4W/m 24V CRI90 biela studená 120 LED/m</t>
  </si>
  <si>
    <t>V-STRONG plus LED szalag 14,4W/m 24V CRI90 hideg fehér 120 LED/m</t>
  </si>
  <si>
    <t>V-StrongLumio taśma LED 14,4W/m 24V CRI90 zimna biała 120 LED/m</t>
  </si>
  <si>
    <t>V-StrongLumio LED pásek 14,4W/m 24V CRI90 bílá teplá 120 LED/m (355849)</t>
  </si>
  <si>
    <t>V-StrongLumio LED pásik 14,4W/m 24V CRI90 biela tepla 120 LED/m</t>
  </si>
  <si>
    <t>V-STRONG plus LED szalag 14,4W/m 24V CRI90 meleg fehér 120 LED/m</t>
  </si>
  <si>
    <t>V-StrongLumio taśma LED 14,4W/m 24V CRI90 ciepła biała 120 LED/m</t>
  </si>
  <si>
    <t>V-StrongLumio LED pásek 14,4W/m 24V RGB IP20 (284602)</t>
  </si>
  <si>
    <t>V-StrongLumio LED pásek 21,6W/m 24V bílá neutrální 210 LED/m (342534)</t>
  </si>
  <si>
    <t>V-StrongLumio LED pásik 21,6W/m 24V biela neutrálna 210 LED/m</t>
  </si>
  <si>
    <t>V-STRONG LED szalag 21,6W/m 24V semleges fehér 210 LED/m</t>
  </si>
  <si>
    <t>V-StrongLumio taśma LED 21,6W/m 24V biała neutralna 210 LED/m</t>
  </si>
  <si>
    <t>V-StrongLumio LED pásek 21,6W/m 24V CRI90 bílá neutrální 210 LED/m</t>
  </si>
  <si>
    <t>V-StrongLumio LED pásik 21,6W/m 24V CRI90 biela neutrálna 210 LED/m</t>
  </si>
  <si>
    <t>V-STRONG plus LED szalag 21,6W/m 24V CRI90 semleges fehér 210 LED/m</t>
  </si>
  <si>
    <t>V-StrongLumio taśma LED 21,6W/m 24V CRI90 biała neutralna 210 LED/m</t>
  </si>
  <si>
    <t>V-StrongLumio LED pásek 21,6W/m 24V CRI90 bílá studená 210 LED/m (355855)</t>
  </si>
  <si>
    <t>V-StrongLumio LED pásik 21,6W/m 24V CRI90 biela studená 210 LED/m</t>
  </si>
  <si>
    <t>V-STRONG plus LED szalag 21,6W/m 24V CRI90 hideg fehér 210 LED/m</t>
  </si>
  <si>
    <t>V-StrongLumio taśma LED 21,6W/m 24V CRI90 zimna biała 210 LED/m</t>
  </si>
  <si>
    <t>V-StrongLumio LED pásek 21,6W/m 24V CRI90 bílá teplá 210 LED/m</t>
  </si>
  <si>
    <t>V-StrongLumio LED pásik 21,6W/m 24V CRI90 biela teplá 210 LED/m</t>
  </si>
  <si>
    <t>V-STRONG plus LED szalag 21,6W/m 24V CRI90 meleg fehér 210 LED/m</t>
  </si>
  <si>
    <t>V-StrongLumio taśma LED 21,6W/m 24V CRI90 ciepła biała 210 LED/m</t>
  </si>
  <si>
    <t>V-StrongLumio LED pásek 24V 12W/m (160 LED/m) 8mm, bílá neutrální (544701)</t>
  </si>
  <si>
    <t>V-StrongLumio LED pásek 24V 20W/m(240 LED/m) 10mm, bílá neutrální (544704)</t>
  </si>
  <si>
    <t>V-StrongLumio LED pásek 24V 5v1 14,4W/m (60 LED/m) RGBCCT (472112)</t>
  </si>
  <si>
    <t>V-StrongLumio LED pásik 24V 5v1 14,4W/m (60 LED/m) RGBCCT</t>
  </si>
  <si>
    <t>V-StrongLumio taśma LED 24V 5v1 14,4W/m (60 LED/m) RGBCCT</t>
  </si>
  <si>
    <t>V-StrongLumio LED pásek 24V COB 12W/m (480 LED/m) - 8mm - studená bílá (491416)</t>
  </si>
  <si>
    <t>V-StrongLumio LED pásik 24V COB 12W/m (480 LED/m) - 8mm - studená biela</t>
  </si>
  <si>
    <t>V-StrongLumio LED szalag,  24V COB 12W/m (480 LED/m) - 8mm -  hideg fehér</t>
  </si>
  <si>
    <t>V-StrongLumio taśma LED 24V COB 12W/m (480 LED/m) zimny biały</t>
  </si>
  <si>
    <t>V-StrongLumio LED pásek 24V COB 12W/m (480 LED/m) - 8mm - teplá bílá (491417)</t>
  </si>
  <si>
    <t>V-StrongLumio LED pásik 24V COB 12W/m (480 LED/m) - 8mm - teplá biela (491417)</t>
  </si>
  <si>
    <t>V-StrongLumio LED szalag, 24V COB 12W/m (480 LED/m) - 8mm - meleg fehér (491417)</t>
  </si>
  <si>
    <t>V-StrongLumio taśma LED 24V COB 12W/m (480 LED/m) ciepły biały (491417)</t>
  </si>
  <si>
    <t>V-StrongLumio LED pásek 24V COB 12W/m (480 LED/m) -8mm - neutrální bílá (491405)</t>
  </si>
  <si>
    <t>V-StrongLumio LED pásik 24V COB 12W/m (480 LED/m)  - 8mm - neutrálna biela</t>
  </si>
  <si>
    <t>V-StrongLumio LED szalag, 24V COB 12W/m (480 LED/m) - 8mm - semleges fehér</t>
  </si>
  <si>
    <t>V-StrongLumio taśma LED 24V COB 12W/m (480 LED/m) neutralny biały</t>
  </si>
  <si>
    <t>V-StrongLumio LED pásek 24V COB 14W/m (512 LED/m) - 10mm - studená bílá (472107)</t>
  </si>
  <si>
    <t>V-StrongLumio LED pásik 24V COB 14W/m (512 LED/m) - 10mm - studená biela</t>
  </si>
  <si>
    <t>V-StrongLumio taśma LED 24V COB 14W/m (512 LED/m) - 10mm - zimny biały</t>
  </si>
  <si>
    <t>V-StrongLumio LED pásek 24V COB 14W/m (512 LED/m) - 10mm - teplá bílá (472109)</t>
  </si>
  <si>
    <t>V-StrongLumio LED pásik 24V COB 14W/m (512 LED/m) - 10mm - teplá biela</t>
  </si>
  <si>
    <t>V-StrongLumio taśma LED 24V COB 14W/m (512 LED/m) - 10mm - ciepły biały</t>
  </si>
  <si>
    <t>V-StrongLumio LED pásek 24V COB 14W/m (512 LED/m) -10mm- neutrální bílá (472108)</t>
  </si>
  <si>
    <t>V-StrongLumio LED pásik 24V COB 14W/m (512 LED/m) - 10mm - neutrálna biela</t>
  </si>
  <si>
    <t>V-StrongLumio taśma LED 24V COB 14W/m (512 LED/m) - 10mm - neutralny biały</t>
  </si>
  <si>
    <t>V-StrongLumio LED pásek 24V COB 15W/m (840 LED/m) RGB (472111)</t>
  </si>
  <si>
    <t>V-StrongLumio LED pásik 24V COB 15W/m (840 LED/m) RGB</t>
  </si>
  <si>
    <t>V-StrongLumio taśma LED 24V COB 15W/m (840 LED/m) RGB</t>
  </si>
  <si>
    <t>V-StrongLumio LED pásek 24V COB 22W/m (608 LED/m) - 10mm - CCT (472110)</t>
  </si>
  <si>
    <t>V-StrongLumio LED pásik 24V COB 22W/m (608 LED/m) - 10mm - CCT</t>
  </si>
  <si>
    <t>V-StrongLumio LED szalag 24V COB 22W/m (608 LED/m) - 10mm - CCT (472110)</t>
  </si>
  <si>
    <t>V-StrongLumio taśma LED 24V COB 22W/m (608 LED/m) - 10mm - CCT</t>
  </si>
  <si>
    <t>V-StrongLumio LED pásek 24V COB 8W/m (320 LED/m) 5mm, bílá neutrální (544585)</t>
  </si>
  <si>
    <t>StrongLumio LED pásik 24V COB 8W/m (320 LED/m) - 5mm, biela neutrálna</t>
  </si>
  <si>
    <t>StrongLumio LED szalag, 24V COB 8W/m (320 LED/m) - 5mm semleges fehér</t>
  </si>
  <si>
    <t>StrongLumio taśma LED 24V COB 8W/m (320 LED/m) - 5mm -neutralny biały</t>
  </si>
  <si>
    <t>V-StrongLumio LED pásek 26W/m 24V bílá studená 304 LED/m (405361)</t>
  </si>
  <si>
    <t>V-StrongLumio LED pásik 26W/m 24V biela neutrálna 210 LED/m</t>
  </si>
  <si>
    <t>V-STRONG LED szalag 26W/m 24V semleges fehér 210 LED/m</t>
  </si>
  <si>
    <t>V-StrongLumio taśma LED 26W/m 24V biały zimny 210 LED/m</t>
  </si>
  <si>
    <t>V-StrongLumio LED pásek 26W/m 24V bílá teplá 304 LED/m (405359)</t>
  </si>
  <si>
    <t>V-StrongLumio LED pásek 26W/m 24V biela teplá 304 LED/m</t>
  </si>
  <si>
    <t>V-STRONG LED szalag 26W/m 24V meleg fehér 304 LED/m</t>
  </si>
  <si>
    <t>V-StrongLumio LED pásek 4,8W/m 12V bílá neutrální (249934)</t>
  </si>
  <si>
    <t>V-StrongLumio LED pásik 4,8W/m 12V biela neutrálna</t>
  </si>
  <si>
    <t>V-STRONG LED szalag 4,8W/m 12V semleges fehér</t>
  </si>
  <si>
    <t>V-StrongLumio taśma LED 4,8W/m 12V biała neutralna</t>
  </si>
  <si>
    <t>V-StrongLumio LED pásek 4,8W/m 12V bílá studená (131573)</t>
  </si>
  <si>
    <t>V-StrongLumio LED PÁSIK 4,8W/M 12V BIELA STUDENÁ</t>
  </si>
  <si>
    <t>V-YUS-LED SZAL.4,8W/M 12V FEH.HIDEG</t>
  </si>
  <si>
    <t>V-StrongLumio LED TAŚM. 4,8W/12V ZIM.BIAŁE</t>
  </si>
  <si>
    <t>V-StrongLumio LED pásek 4,8W/m 12V bílá teplá (132251)</t>
  </si>
  <si>
    <t>V-StrongLumio LED PÁSIK 4,8W/M 12V BIELA TEPLÁ</t>
  </si>
  <si>
    <t>V-YUS-LED SZAL.4,8W/M 12V FEH.MELEG</t>
  </si>
  <si>
    <t>V-StrongLumio LED TAŚM. 4,8W/12V CIEP.BIAŁE</t>
  </si>
  <si>
    <t>V-StrongLumio LED pásek 4,8W/m 12V bílá teplá IP65 (132267)</t>
  </si>
  <si>
    <t>V-StrongLumio LED PÁSIK 4,8W/M 12V BIEL TEP.IP65</t>
  </si>
  <si>
    <t>V-YUS-LED SZAL.4,8W/M 12V FEH.MEL.IP65</t>
  </si>
  <si>
    <t>V-StrongLumio LED TAŚM. 4,8W/12V CIEP.BIAŁE IP65</t>
  </si>
  <si>
    <t>V-StrongLumio LED pásek 6W/m 24V bílá neutrální (284555)</t>
  </si>
  <si>
    <t>V-StrongLumio LED pásik 6W/m 24V biela neutrálna</t>
  </si>
  <si>
    <t>V-STRONG LED szalag 6W/m 24V semleges fehér</t>
  </si>
  <si>
    <t>V-StrongLumio taśma LED 6W/m 24V biała neutralna</t>
  </si>
  <si>
    <t>V-StrongLumio LED pásek 6W/m 24V bílá studená (284556)</t>
  </si>
  <si>
    <t>V-StrongLumio LED pásik 6W/m 24V biela studená</t>
  </si>
  <si>
    <t>V-STRONG LED szalag 6W/m 24V hideg fehér</t>
  </si>
  <si>
    <t>V-StrongLumio taśma LED 6W/m 24V zimna biała</t>
  </si>
  <si>
    <t>V-StrongLumio LED pásek 6W/m 24V bílá teplá (284554)</t>
  </si>
  <si>
    <t>V-StrongLumio LED pásik 6W/m 24V biela teplá</t>
  </si>
  <si>
    <t>V-STRONG LED szalag 6W/m 24V meleg fehér</t>
  </si>
  <si>
    <t>V-StrongLumio taśma LED 6W/m 24V ciepła biała</t>
  </si>
  <si>
    <t>V-StrongLumio LED pásek 6W/m 24V CC CRI90 bílá studená 120 LED/m (355848)</t>
  </si>
  <si>
    <t>V-StrongLumio LED pásik 6W/m 24V CC CRI90 biela studená 120 LED/m</t>
  </si>
  <si>
    <t>V-STRONG plus LED szalag 6W/m 24V CC CRI90 hideg fehér 120 LED/m</t>
  </si>
  <si>
    <t>V-StrongLumio taśma LED 6W/m 24V CC CRI90 zimna biała 120 LED/m</t>
  </si>
  <si>
    <t>V-StrongLumio LED pásek 6W/m 24V CC CRI90 bílá teplá 120 LED/m (355846)</t>
  </si>
  <si>
    <t>V-StrongLumio LED pásik 6W/m 24V CC CRI90 biela tepla 120 LED/m</t>
  </si>
  <si>
    <t>V-STRONG plus LED szalag 6W/m 24V CC CRI90 meleg fehér 120 LED/m</t>
  </si>
  <si>
    <t>V-StrongLumio taśma LED 6W/m 24V CC CRI90 ciepła biała 120 LED/m</t>
  </si>
  <si>
    <t>V-StrongLumio LED pásek 9,6W/m 12V bílá neutrální (250029)</t>
  </si>
  <si>
    <t>V-StrongLumio LED pásik 9,6W/m 12V biela neutrálna</t>
  </si>
  <si>
    <t>V-STRONG LED szalag 9,6W/m 12V semleges fehér</t>
  </si>
  <si>
    <t>V-StrongLumio taśma LED 9,6W/m 12V biała neutralna</t>
  </si>
  <si>
    <t>V-StrongLumio LED pásek 9,6W/m 12V bílá studená (231387)</t>
  </si>
  <si>
    <t>V-StrongLumio LED pásik 9,6W/m 12V biela studená</t>
  </si>
  <si>
    <t>V-STRONG LED szalag 9,6W/m 12V hideg fehér</t>
  </si>
  <si>
    <t>V-StrongLumio taśma LED 9,6W/m 12V zimna biała</t>
  </si>
  <si>
    <t>V-StrongLumio LED pásek 9,6W/m 12V bílá teplá (231392)</t>
  </si>
  <si>
    <t>V-StrongLumio LED pásik 9,6W/m 12V biela teplá</t>
  </si>
  <si>
    <t>V-STRONG LED szalag 9,6W/m 12V meleg fehér</t>
  </si>
  <si>
    <t>V-StrongLumio taśma LED 9,6W/m 12V ciepła biała</t>
  </si>
  <si>
    <t>V-StrongLumio LED pásek 9,6W/m 24V (120 LED) bílá teplá neon IP67 (405177)</t>
  </si>
  <si>
    <t>V-StrongLumio LED pásik 9,6W/m 24V (120 LED) biela teplá neon IP67(405177)</t>
  </si>
  <si>
    <t>V-StrongLumio LED szalag, 9,6W/m 24V, neon, meleg fehér, 120 LED/m</t>
  </si>
  <si>
    <t>V-StrongLumio pasek LED 9,6 W/m 24 V (120 LED) ciepła biel neon IP67 (405177)</t>
  </si>
  <si>
    <t>V-StrongLumio LED pásek COB 24V 10+10W/m (576 LED/m) - 8mm 2PIN CCT (544705)</t>
  </si>
  <si>
    <t>V-StrongLumio LED pásik 24V COB 10+10W/m (576 LED/m) - 8mm 2PIN CCT</t>
  </si>
  <si>
    <t>V-StrongLumio LED szalag, COB 24V, 10+10W/m (576 LED/m) - 8mm 2PIN CCT</t>
  </si>
  <si>
    <t>V-StrongLumio LED – taśma COB 24V 10+10W/m (576 LED/m) – 8 mm 2PIN CCT</t>
  </si>
  <si>
    <t>V-StrongLumio LED pásek COB 24V 8W/m (320 LED/m) 5mm, bílá teplá (544584)</t>
  </si>
  <si>
    <t>V-StrongLumio LED pásik 24V COB 8W/m (320 LED/m) 5mm, teplá biela</t>
  </si>
  <si>
    <t>V-StrongLumio LED szalag, COB 24V 8W/m (320 LED/m) - 5mm - meleg fehér</t>
  </si>
  <si>
    <t>V-StrongLumio taśma LED COB 24V 8W/m (320 LED/m) - 5mm -ciepły biały</t>
  </si>
  <si>
    <t>V-StrongLumio LED pásek free cut COB 24V 12W/m, 8mm, bílá neutrální (544592)</t>
  </si>
  <si>
    <t>V-StrongLumio led pásik free cut COB 24V 12W/m (528 led/m)-8mm - biela neutrálna</t>
  </si>
  <si>
    <t>VStrongLumio LED szalag, free cut COB 24V 12W/m (528 LED/m) - 8mm semleges fehér</t>
  </si>
  <si>
    <t>VStrongLumio taśma LED free cut COB 24V 12W/m (528 LED/m) - 8mm -neutralny biały</t>
  </si>
  <si>
    <t>V-StrongLumio LED pásek neon 6x12 mm 24V 9,6W IP67 bílá neutrální (546626)</t>
  </si>
  <si>
    <t>V-StrongLumio LED pásik neon 6x12 mm, 168 LED/m biela neutrálna</t>
  </si>
  <si>
    <t>V-StrongLumio LED neon szalag 6x12 mm 24V 9,6W (168 LED/m) IP67 fehér semleges</t>
  </si>
  <si>
    <t>V-StrongLumio taśma LED neon 6x12 mm 24V 9,6W (168 LED/m) IP67, biały neutralny</t>
  </si>
  <si>
    <t>V-StrongLumio LED profil Belcore 2m stříbrný elox (342524)</t>
  </si>
  <si>
    <t>V-StrongLumio LED profil Belcore 2m strieborný elox</t>
  </si>
  <si>
    <t>V-STRONG LED profil Belcore 2m ezüst elox</t>
  </si>
  <si>
    <t>V-StrongLumio LED profil Belcore 2m srebrny elox</t>
  </si>
  <si>
    <t>V-StrongLumio LED rohový spoj pájecí 10mm (342538)</t>
  </si>
  <si>
    <t>V-StrongLumio LED rohový spoj pájecí 10mm</t>
  </si>
  <si>
    <t>V-STRONG LED sarok csatlakozó forrasztásra 10 mm</t>
  </si>
  <si>
    <t>V-StrongLumio LED narożnik do taśm ledowych - lutowany 10mm</t>
  </si>
  <si>
    <t>V-StrongLumio LED rohový spoj pájecí 8mm (342529)</t>
  </si>
  <si>
    <t>V-StrongLumio LED rohový spoj pájecí 8mm</t>
  </si>
  <si>
    <t>V-STRONG LED sarok csatlakozó forrasztásra 8 mm</t>
  </si>
  <si>
    <t>V-StrongLumio LED narożnik do taśm ledowych - lutowany 8mm</t>
  </si>
  <si>
    <t>V-StrongLumio LED vypínač do profilu 12/24V modrá LED kontrolka</t>
  </si>
  <si>
    <t>V-StrongLumio LED vypínač/stmívač do profilu 12/24V bez kontrolky (392223)</t>
  </si>
  <si>
    <t>LED vypínač/stmievač do lišty 12V/24V, žltá LED kontrolka</t>
  </si>
  <si>
    <t>LED kapcsoló/fényerő szabályozó profilba 12/24V sárga LED kijelző</t>
  </si>
  <si>
    <t>LED wyłącznik / ściemniacz do listwy 12/24V żółty LED kontrolny</t>
  </si>
  <si>
    <t>V-StrongLumio LED vypínač/stmívač do profilu 12/24V modrá LED kontrolka (215772)</t>
  </si>
  <si>
    <t>V-LED vypínač/stmievač do lišty 12V/24V, modrá LED</t>
  </si>
  <si>
    <t>V-LED kap./fényerőszab.prof.12V, kék LED</t>
  </si>
  <si>
    <t>V-LED wył./ściem.do listwy 12V,nieb LED</t>
  </si>
  <si>
    <t>V-StrongLumio LED vypínač/stmívač do profilu 12/24V žlutá LED kontrolka (215666)</t>
  </si>
  <si>
    <t>V-LED vypínač/stmievač do lišty 12V/24V, žltá LED kontrolka</t>
  </si>
  <si>
    <t>V-LED kap./fényerőszab.prof.12V,sár.LED</t>
  </si>
  <si>
    <t>V-StrongLumio LED wył./ściem.do listwy 12V, żółt LED</t>
  </si>
  <si>
    <t>V-StrongLumio lepící páska oboustr. 12mm pro LED profily super silná 5m (467484)</t>
  </si>
  <si>
    <t>V-StrongLumio lepící páska oboustranná 12mm pre LED profily super silná 5m</t>
  </si>
  <si>
    <t>V-Kétoldalas ragasztószalag 12 mm LED profilokhoz, szuper erős, 5m</t>
  </si>
  <si>
    <t>V-TM-taśma klejąca 12mm dwustronna do profili LED super mocna 5m</t>
  </si>
  <si>
    <t>V-StrongLumio lepící páska oboustranná  pro LED profily super silná 25m (471803)</t>
  </si>
  <si>
    <t>V-TM-lepiaca páska obojstranná 12mm pre LED profily super silná 25m</t>
  </si>
  <si>
    <t>V-Kétoldalas ragasztószalag 12 mm LED profilokhoz, szuper erős, 25m</t>
  </si>
  <si>
    <t>V-TM-taśma klejąca obustronna 12mm do profili LED super mocna 25m</t>
  </si>
  <si>
    <t>V-StrongLumio napájecí DC zdířka 2,1mm se svorkovnicí (381175)</t>
  </si>
  <si>
    <t>V-StrongLumio napájací DC zdierka 2,1mm so svorkovnicou</t>
  </si>
  <si>
    <t>V-StrongLumio DC tápcsatlakozó, konnektor kábel x jack, 2,1mm</t>
  </si>
  <si>
    <t>V-StrongLumio złącze zasilające DC 2,1mm z  zaciskiem</t>
  </si>
  <si>
    <t>V-StrongLumio napájecí zdroj 24V-36W (6x mini konektor + 1x 3PIN sens.) (484188)</t>
  </si>
  <si>
    <t>V-StrongLumio napájací zdroj 24V - 36W (6x mini konektor + 1x 3PIN sensor)</t>
  </si>
  <si>
    <t>V-StrongLumio tápegység 24V - 36W (6x mini csatlakozó + 1x 3PIN érzékelő)</t>
  </si>
  <si>
    <t>V-StrongLumio zasilacz 24V - 36W (6x złącze mini + 1x czujnik 3PIN)</t>
  </si>
  <si>
    <t>V-StrongLumio napájecí zdroj plochý LED 24V 100W (284624)</t>
  </si>
  <si>
    <t>V-StrongLumio napájací zdroj plochý LED 24V 100W</t>
  </si>
  <si>
    <t>V-STRONG tápegység lapos LED 24V 100W</t>
  </si>
  <si>
    <t>V-StrongLumio zasilacz płaski LED 24V 100W</t>
  </si>
  <si>
    <t>V-StrongLumio napájecí zdroj plochý pro LED 12V 100W (405187)</t>
  </si>
  <si>
    <t>V-StrongLumio napájací zdroj plochý pre LED 12V 100W</t>
  </si>
  <si>
    <t>V-STRONG tápegység lapos LED-hez 12V 100W</t>
  </si>
  <si>
    <t>V-StrongLumio zasilacz płaski pro LED 12V 100W</t>
  </si>
  <si>
    <t>V-StrongLumio napájecí zdroj plochý pro LED 12V 15W (405183)</t>
  </si>
  <si>
    <t>V-StrongLumio napájací zdroj plochý pre LED 12V 15W</t>
  </si>
  <si>
    <t>V-StrongLumio tápegység lapos LED-hez 12V 15W</t>
  </si>
  <si>
    <t>V-StrongLumio zasilacz płaski pro LED 12V 15W</t>
  </si>
  <si>
    <t>V-StrongLumio napájecí zdroj plochý pro LED 12V 30W (405184)</t>
  </si>
  <si>
    <t>V-StrongLumio napájací zdroj plochý pre LED 12V 30W</t>
  </si>
  <si>
    <t>V-STRONG tápegység lapos LED-hez 12V 30W</t>
  </si>
  <si>
    <t>V-StrongLumio zasilacz płaski pro LED 12V 30W</t>
  </si>
  <si>
    <t>V-StrongLumio napájecí zdroj plochý pro LED 12V 60W (405185)</t>
  </si>
  <si>
    <t>V-StrongLumio napájací zdroj plochý pre LED 12V 60W</t>
  </si>
  <si>
    <t>V-STRONG tápegység lapos LED-hez 12V 60W</t>
  </si>
  <si>
    <t>V-StrongLumio zasilacz płaski pro LED 12V 60W</t>
  </si>
  <si>
    <t>V-StrongLumio napájecí zdroj plochý pro LED 12V 75W (405186)</t>
  </si>
  <si>
    <t>V-StrongLumio napájací zdroj plochý pre LED 12V 75W</t>
  </si>
  <si>
    <t>V-STRONG tápegység lapos LED-hez 12V 75W</t>
  </si>
  <si>
    <t>V-StrongLumio zasilacz płaski pro LED 12V 75W</t>
  </si>
  <si>
    <t>V-StrongLumio napájecí zdroj plochý pro LED 24V - 30W (544907)</t>
  </si>
  <si>
    <t>V-StrongLumio plochý napájací zdroj pre LED 24V – 30W</t>
  </si>
  <si>
    <t>V-StrongLumio lapos tápegység LED-hez 24V – 30W</t>
  </si>
  <si>
    <t>V-StrongLumio płaski zasilacz do LED 24V – 30W</t>
  </si>
  <si>
    <t>V-StrongLumio napájecí zdroj plochý pro LED 24V - 50W (544902)</t>
  </si>
  <si>
    <t>V-StrongLumio plochý napájací zdroj pre LED 24V – 50W</t>
  </si>
  <si>
    <t>V-StrongLumio lapos tápegység LED-hez 24V – 50W</t>
  </si>
  <si>
    <t>V-StrongLumio płaski zasilacz do LED 24V – 50W</t>
  </si>
  <si>
    <t>V-StrongLumio napájecí zdroj plochý pro LED 24V 60W (284623)</t>
  </si>
  <si>
    <t>V-StrongLumio napájací zdroj plochý pre LED 24V 60W</t>
  </si>
  <si>
    <t>V-STRONG tápegység lapos LED-hez 24V 60W</t>
  </si>
  <si>
    <t>V-StrongLumio zasilacz płaski pro LED 24V 60W</t>
  </si>
  <si>
    <t>V-StrongLumio napájecí zdroj plochý pro LED 24V 75W (405188)</t>
  </si>
  <si>
    <t>V-StrongLumio napájecí zdroj pro LED 12V 120W (353250)</t>
  </si>
  <si>
    <t>V-STRONG napájací zdroj pre LED 12V 120W</t>
  </si>
  <si>
    <t>V-STRONG tápegység LED-hez 12V 120W</t>
  </si>
  <si>
    <t>V-STRONG zasilacz do  LED 12V 120W</t>
  </si>
  <si>
    <t>V-StrongLumio napájecí zdroj pro LED 12V 18W (405179)</t>
  </si>
  <si>
    <t>V-StrongLumio napájací zdroj pre LED 18W, 12V</t>
  </si>
  <si>
    <t>V-YUS-tápegység LED-hez 18W,12V</t>
  </si>
  <si>
    <t>V-StrongLumio ZASILACZ DO LED 18W, 12V</t>
  </si>
  <si>
    <t>V-StrongLumio napájecí zdroj pro LED 12V 30W (405180)</t>
  </si>
  <si>
    <t>V-StrongLumio napájací zdroj pre LED 30W, 12V</t>
  </si>
  <si>
    <t>V-YUS-tápegység LED-hez 30W,12V</t>
  </si>
  <si>
    <t>V-StrongLumio ZASILACZ DO LED 30W, 12V</t>
  </si>
  <si>
    <t>V-StrongLumio napájecí zdroj pro LED 12V 48W (405181)</t>
  </si>
  <si>
    <t>V-StrongLumio napájací zdroj pre LED 48W, 12V</t>
  </si>
  <si>
    <t>V-YUS-tápegység LED-hez 48W,12V</t>
  </si>
  <si>
    <t>V-StrongLumio ZASILACZ DO LED 48W, 12V</t>
  </si>
  <si>
    <t>V-StrongLumio napájecí zdroj pro LED 24V 80W (284619)</t>
  </si>
  <si>
    <t>V-StrongLumio napájací zdroj pre LED 24v 80W</t>
  </si>
  <si>
    <t>V-STRONG tápegység LED-hez 24V 80W</t>
  </si>
  <si>
    <t>V-StrongLumio zasilacz do LED 24V 80W</t>
  </si>
  <si>
    <t>V-StrongLumio plochý RGB kabel (čtyřlinka) (276497)</t>
  </si>
  <si>
    <t>V-TL-plochý RGB kábel</t>
  </si>
  <si>
    <t>V-TL-lapos RGB kábel</t>
  </si>
  <si>
    <t>V-TL- płaski RGB kabel</t>
  </si>
  <si>
    <t>V-StrongLumio plochý RGBCCT kabel (šestilinka) (489472)</t>
  </si>
  <si>
    <t>V-StrongLumio plochý RGBCCT kabel</t>
  </si>
  <si>
    <t>V-StrongLumio płaski RGBCCT kabel</t>
  </si>
  <si>
    <t>V-StrongLumio plochý RGBW kabel (pětilinka) (399079)</t>
  </si>
  <si>
    <t>V-StrongLumio podpovrchový vypínač/stmívač 12-24V bílý konektory Mini (405198)</t>
  </si>
  <si>
    <t>V-StrongLumio vypínač/stmievač 12-24V 4A čierny konektory Mini</t>
  </si>
  <si>
    <t>V-STRONG Kapacitív kapcsoló</t>
  </si>
  <si>
    <t>V-StrongLumio wyłacznik/ściemniacz 12-24V 4A czarny konektory Mini</t>
  </si>
  <si>
    <t>V-StrongLumio pohybový senzor do profilu 12-24V, 8A (405196)</t>
  </si>
  <si>
    <t>V-StrongLumio pohybový senzor do profilu 12-24V, 8A</t>
  </si>
  <si>
    <t>STRONG  mozgásérzékelő profilba, 12-24V, 8A</t>
  </si>
  <si>
    <t>V-StrongLumio wyłącznik do profilu 12-24V 8A</t>
  </si>
  <si>
    <t>V-StrongLumio pohybový vypínač PIR 12-24V 4A MINI (343040)</t>
  </si>
  <si>
    <t>V-StrongLumio pohybový vypínač PIR 12-24V 4A MINI</t>
  </si>
  <si>
    <t>V-STRONG mozgásérzékelő kapcsoló PIR 12-24V 4A Mini</t>
  </si>
  <si>
    <t>V-StrongLumio czujnik ruchu PIR 12-24V 4A Mini</t>
  </si>
  <si>
    <t>V-StrongLumio pohybový vypínač PIR k zafrézování 12-24V 4A Mini (405209)</t>
  </si>
  <si>
    <t>V-StrongLumio pohybový vypínač PIR 12-24V 4A Mini</t>
  </si>
  <si>
    <t>V-StrongLumio Power dálkový ovladač/stmívač 1x25A (284572)</t>
  </si>
  <si>
    <t>V-StrongLumio Power diaľkový ovládač/stmievač 1x25A</t>
  </si>
  <si>
    <t>V-STRONG Power távirányitó/fényerő szabályozó 1x25A</t>
  </si>
  <si>
    <t>V-StrongLumio Power pilot/ściemniacz 1x25A</t>
  </si>
  <si>
    <t>V-StrongLumio prodlužovací kabel 1,8m Mini konektor (285110)</t>
  </si>
  <si>
    <t>V-StrongLumio predlžovací kábel 1,8m MINI konektor</t>
  </si>
  <si>
    <t>V-TM-hosszabbító kábel 1,8m Mini konnektor</t>
  </si>
  <si>
    <t>V-StrongLumio przedłużacz 1,8m Mini konektor</t>
  </si>
  <si>
    <t>V-StrongLumio prodlužovací kabel 2m pro dveřní senzor 342519 a 342520 (362939)</t>
  </si>
  <si>
    <t>V-StrongLumio predlžovací kábel 2m pre dverový senzor 342519 a 342520</t>
  </si>
  <si>
    <t>V-STRONG hosszabbító kábel 2m ajtó érzékelőhöz 342519 és 342520</t>
  </si>
  <si>
    <t>V-StrongLumio przedłużacz 2m do 342519 i 342520</t>
  </si>
  <si>
    <t>V-StrongLumio profil LED Begtin 12 alu bílá 2000mm (285035)</t>
  </si>
  <si>
    <t>V-StrongLumio profil LED BEGTIN alu biela 2000mm</t>
  </si>
  <si>
    <t>V-TM-profil LED Begtin alu fehér 2000mm</t>
  </si>
  <si>
    <t>V-StrongLumio profil LED Begtin alu biały 2000mm</t>
  </si>
  <si>
    <t>V-StrongLumio profil LED Begtin 12 alu černá 2000mm (285036)</t>
  </si>
  <si>
    <t>V-StrongLumio profil LED BEGTIN alu čierna 2000mm</t>
  </si>
  <si>
    <t>V-TM-profil LED Begtin alu fekete 2000mm</t>
  </si>
  <si>
    <t>V-StrongLumio profil LED Begtin alu czarny 2000mm</t>
  </si>
  <si>
    <t>V-StrongLumio profil LED Begtin 12 alu elox 2000mm (285034)</t>
  </si>
  <si>
    <t>V-StrongLumio profil LED BEGTIN alu elox 2000mm</t>
  </si>
  <si>
    <t>V-TM-profil LED Begtin alu elox 2000mm</t>
  </si>
  <si>
    <t>V-StrongLumio profil LED Begtin alu elox 2000mm</t>
  </si>
  <si>
    <t>V-StrongLumio profil LED Begtin 12 alu elox 3000mm (285037)</t>
  </si>
  <si>
    <t>V-StrongLumio profil LED BEGTIN alu elox 3000mm</t>
  </si>
  <si>
    <t>V-TM-profil LED Begtin alu elox 3000mm</t>
  </si>
  <si>
    <t>V-StrongLumio profil LED Begtin alu elox 3000mm</t>
  </si>
  <si>
    <t>V-StrongLumio profil LED Begton alu bílá 2000mm (285042)</t>
  </si>
  <si>
    <t>V-StrongLumio profil LED BEGTON alu biela 2000mm</t>
  </si>
  <si>
    <t>V-TM-profil LED Begton alu fehér 2000mm</t>
  </si>
  <si>
    <t>V-StrongLumio profil LED Begton alu biały 2000mm</t>
  </si>
  <si>
    <t>V-StrongLumio profil LED Begton alu černá 2000mm (285043)</t>
  </si>
  <si>
    <t>V-StrongLumio profil LED BEGTON alu čierna 2000mm</t>
  </si>
  <si>
    <t>V-TM-profil LED Begton alu fekete 2000mm</t>
  </si>
  <si>
    <t>V-StrongLumio profil LED Begton alu czarny 2000mm</t>
  </si>
  <si>
    <t>V-StrongLumio profil LED Begton alu elox 2000mm (285041)</t>
  </si>
  <si>
    <t>V-StrongLumio profil LED BEGTON alu elox 2000mm</t>
  </si>
  <si>
    <t>V-TM-profil LED Begton alu elox 2000mm</t>
  </si>
  <si>
    <t>V-StrongLumio profil LED Begton alu elox 2000mm</t>
  </si>
  <si>
    <t>V-StrongLumio profil LED Begton alu elox 3000mm (285044)</t>
  </si>
  <si>
    <t>V-StrongLumio profil LED BEGTON alu elox 3000mm</t>
  </si>
  <si>
    <t>V-TM-profil LED Begton alu elox 3000mm</t>
  </si>
  <si>
    <t>V-StrongLumio profil LED Begton alu elox 3000mm</t>
  </si>
  <si>
    <t>V-StrongLumio profil LED Cabi 12 E alu bílá 2000mm (542856)</t>
  </si>
  <si>
    <t>V-StrongLumio profil LED Cabi 12 E alu biely 2000mm</t>
  </si>
  <si>
    <t>StrongLumio profil LED Cabi12 E alu biały 2000mm</t>
  </si>
  <si>
    <t>V-StrongLumio profil LED Cabi 12 E alu bílý 4050mm (481838)</t>
  </si>
  <si>
    <t>V-StrongLumio profil LED Cabi 12 E alu biely 4050mm</t>
  </si>
  <si>
    <t>V-TM-profil LED Cabi12 E fehér alumínium 4050mm</t>
  </si>
  <si>
    <t>V-StrongLumio profil LED Cabi12 E alu biały 4050mm</t>
  </si>
  <si>
    <t>V-StrongLumio profil LED Cabi12 E alu anodovaný 2000mm (285082)</t>
  </si>
  <si>
    <t>V-StrongLumio profil LED Cabi12 E alu anodovaný 2000mm</t>
  </si>
  <si>
    <t>V-TM-profil LED Cabi12 E eloxált alumínium 2000mm</t>
  </si>
  <si>
    <t>V-StrongLumio profil LED Cabi12 E alu anodowany 2000mm</t>
  </si>
  <si>
    <t>V-StrongLumio profil LED Cabi12 E alu černý 3000mm (484130)</t>
  </si>
  <si>
    <t>V-StrongLumio profil LED Cabi12 E alu čierny 3000mm</t>
  </si>
  <si>
    <t>vVStrongLumio profil LED Cabi12 E alu czarny 3000mm</t>
  </si>
  <si>
    <t>V-StrongLumio profil LED Corner 10 alu anodovaný 1000mm (130636)</t>
  </si>
  <si>
    <t>V-StrongLumio PROFIL LED CORNER ALU ANOD. 1000MM</t>
  </si>
  <si>
    <t>V-TM-PROFIL LED CORNER ALU ANOD.1000MM</t>
  </si>
  <si>
    <t>V-StrongLumio PROFIL LED CORNER ALUM ANOD. 1000MM</t>
  </si>
  <si>
    <t>V-StrongLumio profil LED Corner 10 alu anodovaný 2000mm (130637)</t>
  </si>
  <si>
    <t>V-StrongLumio PROFIL LED CORNER ALU ANOD. 2000MM</t>
  </si>
  <si>
    <t>V-TM-PROFIL LED CORNER ALU ANOD.2000MM</t>
  </si>
  <si>
    <t>V-StrongLumio PROFIL LED CORNER ALUM ANOD. 2000MM</t>
  </si>
  <si>
    <t>V-StrongLumio profil LED Corner 10 alu anodovaný 3000mm (244329)</t>
  </si>
  <si>
    <t>V-StrongLumio profil LED Corner alu anod. 3000mm</t>
  </si>
  <si>
    <t>V-profil LED Corner alu anod.3000 mm</t>
  </si>
  <si>
    <t>V-StrongLumio profil LED Corner 10 alu anodovaný 4050mm (252278)</t>
  </si>
  <si>
    <t>V-StrongLumio profil LED Corner alu anodovaný 4050mm</t>
  </si>
  <si>
    <t>V-TM-profil LED Corner eloxált alumínium 4050mm</t>
  </si>
  <si>
    <t>V-StrongLumio profil LED Corner alu anodowany 4050mm</t>
  </si>
  <si>
    <t>V-StrongLumio profil LED Corner 10 alu bílý 1000mm (231271)</t>
  </si>
  <si>
    <t>V-StrongLumio profil LED Corner alu biely 1000mm</t>
  </si>
  <si>
    <t>V-TM-profil LED Corner alu fehér 1000mm</t>
  </si>
  <si>
    <t>V-StrongLumio profil LED Corner alu biały 1000mm</t>
  </si>
  <si>
    <t>V-StrongLumio profil LED Corner 10 alu bílý 2000mm (230908)</t>
  </si>
  <si>
    <t>V-StrongLumio profil LED Corner alu biely 2000mm</t>
  </si>
  <si>
    <t>V-profil LED Corner alu fehér 2000 mm</t>
  </si>
  <si>
    <t>V-StrongLumio profil LED Corner alu biały 2000mm</t>
  </si>
  <si>
    <t>V-StrongLumio profil LED Corner 10 alu bílý 3000mm (285026)</t>
  </si>
  <si>
    <t>V-StrongLumio profil LED Corner alu biely 3000mm</t>
  </si>
  <si>
    <t>V-TM-profil LED Corner alu fehér 3000mm</t>
  </si>
  <si>
    <t>V-StrongLumio profil LED Corner alu biały 3000mm</t>
  </si>
  <si>
    <t>V-StrongLumio profil LED Corner 10 alu bílý 4050mm (353538)</t>
  </si>
  <si>
    <t>V-StrongLumio profil LED Groove alu biely 4050mm</t>
  </si>
  <si>
    <t>V-TM-profil LED Groove alu fehér 4050mm</t>
  </si>
  <si>
    <t>V-StrongLumio profil LED Groove alu biały 4050mm</t>
  </si>
  <si>
    <t>V-StrongLumio profil LED Corner 10 alu černý 1000mm (231270)</t>
  </si>
  <si>
    <t>V-StrongLumio profil LED Corner alu čierny 1000mm</t>
  </si>
  <si>
    <t>V-TM-profil LED Corner alu fekete 1000mm</t>
  </si>
  <si>
    <t>V-StrongLumio profil LED Corner alu czarny 1000mm</t>
  </si>
  <si>
    <t>V-StrongLumio profil LED Corner 10 alu černý 2000mm (230907)</t>
  </si>
  <si>
    <t>V-StrongLumio profil LED Corner alu čierny 2000mm</t>
  </si>
  <si>
    <t>V-profil LED Corner alu fekete 2000 mm</t>
  </si>
  <si>
    <t>V-StrongLumio profil LED Corner alu czarny 2000mm</t>
  </si>
  <si>
    <t>V-StrongLumio profil LED Corner 10 alu černý 3000mm (285025)</t>
  </si>
  <si>
    <t>V-StrongLumio profil LED Corner alu čierny 3000mm</t>
  </si>
  <si>
    <t>V-TM-profil LED Corner alu fekete 3000mm</t>
  </si>
  <si>
    <t>V-StrongLumio profil LED Corner alu czarny 3000mm</t>
  </si>
  <si>
    <t>V-StrongLumio profil LED Corner 10 alu černý 4050mm (353539)</t>
  </si>
  <si>
    <t>V-StrongLumio profil LED Corner alu čierny 4050mm</t>
  </si>
  <si>
    <t>V-TM-profil LED Corner alu fekete 4050mm</t>
  </si>
  <si>
    <t>V-StrongLumio profil LED Corner alu czarny 4050mm</t>
  </si>
  <si>
    <t>V-StrongLumio profil LED Floor 12 alu anodovaný 3000mm (367362)</t>
  </si>
  <si>
    <t>V-TM-profil LED Floor alu anodovaný 3000mm</t>
  </si>
  <si>
    <t>V-StrongLumio LED profil Floor, eloxált alumínium, 3m</t>
  </si>
  <si>
    <t>V-StrongLumio profil LED Floor 12 anodowane aluminium 3000 mm</t>
  </si>
  <si>
    <t>V-StrongLumio profil LED Floor 8 alu anodovaný 3000mm (550330)</t>
  </si>
  <si>
    <t>V-TM-profil LED Floor 8 alu anodovaný 3000mm</t>
  </si>
  <si>
    <t>V-StrongLumio LED profil Floor 8, eloxált alumínium, 3m</t>
  </si>
  <si>
    <t>V-StrongLumio profil LED Floor 8 anodowane aluminium 3000 mm</t>
  </si>
  <si>
    <t>V-StrongLumio profil LED Groove 10 alu anodovaný 1000mm (130633)</t>
  </si>
  <si>
    <t>V-StrongLumio PROFIL LED GROOVE 10 ALU ANOD. 1000MM</t>
  </si>
  <si>
    <t>V-TM-PROFIL LED GROOVE 10 ALU ANOD.1000MM</t>
  </si>
  <si>
    <t>V-StrongLumio PROFIL LED GROOVE 10 ALUM ANOD. 1000MM</t>
  </si>
  <si>
    <t>V-StrongLumio profil LED Groove 10 alu anodovaný 2000mm (130634)</t>
  </si>
  <si>
    <t>V-StrongLumio PROFIL LED GROOVE 10 ALU ANOD. 2000MM</t>
  </si>
  <si>
    <t>V-TM-PROFIL LED GROOVE 10 ALU ANOD.2000MM</t>
  </si>
  <si>
    <t>V-StrongLumio PROFIL LED GROOVE 10 ALUM ANOD. 2000MM</t>
  </si>
  <si>
    <t>V-StrongLumio profil LED Groove 10 alu anodovaný 3000mm (233553)</t>
  </si>
  <si>
    <t>V-StrongLumio profil LED Groove 10 alu anod. 3000mm</t>
  </si>
  <si>
    <t>V-profil LED Groove 10 Alu anod.3000 mm</t>
  </si>
  <si>
    <t>V-StrongLumio profil LED Groove 10 alu anodovaný 4050mm (269800)</t>
  </si>
  <si>
    <t>V-StrongLumio profil LED Groove 10 alu anodovaný 4050mm</t>
  </si>
  <si>
    <t>V-TM-profil LED Groove 10 eloxált alumínium 4050mm</t>
  </si>
  <si>
    <t>V-StrongLumio profil LED Groove 10 alu anodowany 4050mm</t>
  </si>
  <si>
    <t>V-StrongLumio profil LED Groove 10 alu bílý 1000mm (231269)</t>
  </si>
  <si>
    <t>V-StrongLumio profil LED Groove 10 alu biely 1000mm</t>
  </si>
  <si>
    <t>V-TM-profil LED Groove 10 alu fehér 1000mm</t>
  </si>
  <si>
    <t>V-StrongLumio profil LED Groove 10 alu biały 1000mm</t>
  </si>
  <si>
    <t>V-StrongLumio profil LED Groove 10 alu bílý 2000mm (230906)</t>
  </si>
  <si>
    <t>V-StrongLumio profil LED Groove 10 alu biely 2000mm</t>
  </si>
  <si>
    <t>V-StrongLumioprofil LED Groove 10 alu fehér 2000 mm</t>
  </si>
  <si>
    <t>V-StrongLumio profil LED Groove 10 alu biały 2000mm</t>
  </si>
  <si>
    <t>V-StrongLumio profil LED Groove 10 alu bílý 3000mm (285024)</t>
  </si>
  <si>
    <t>V-StrongLumio profil LED Groove 10 alu biely 3000mm</t>
  </si>
  <si>
    <t>V-TM-profil LED Groove 10 alu fehér 3000mm</t>
  </si>
  <si>
    <t>V-StrongLumio profil LED Groove 10 alu biały 3000mm</t>
  </si>
  <si>
    <t>V-StrongLumio profil LED Groove 10 alu bílý 4050mm (353542)</t>
  </si>
  <si>
    <t>V-StrongLumio profil LED Groove 10 alu biely 4050mm</t>
  </si>
  <si>
    <t>V-TM-profil LED Groove 10 alu fehér 4050mm</t>
  </si>
  <si>
    <t>V-StrongLumio profil LED Groove 10 alu biały 4050mm</t>
  </si>
  <si>
    <t>V-StrongLumio profil LED Groove 10 alu černý 1000mm (231268)</t>
  </si>
  <si>
    <t>V-StrongLumio profil LED Groove 10 alu čierny 1000mm</t>
  </si>
  <si>
    <t>V-profil LED Groove 10 alu fekete 1000mm</t>
  </si>
  <si>
    <t>V-StrongLumio profil LED Groove 10 alu czarny 1000mm</t>
  </si>
  <si>
    <t>V-StrongLumio profil LED Groove 10 alu černý 2000mm (230905)</t>
  </si>
  <si>
    <t>V-StrongLumio profil LED Groove 10 alu čierny 2000mm</t>
  </si>
  <si>
    <t>V-TM-profil LED Groove 10 alu fekete 2000mm</t>
  </si>
  <si>
    <t>V-StrongLumio profil LED Groove 10 alu czarny 2000mm</t>
  </si>
  <si>
    <t>V-StrongLumio profil LED Groove 10 alu černý 3000mm (277173)</t>
  </si>
  <si>
    <t>V-StrongLumio profil LED Groove 10 alu čierny 3000mm</t>
  </si>
  <si>
    <t>V-TM-profil LED Groove 10 alu fekete 3000mm</t>
  </si>
  <si>
    <t>V-StrongLumio profil LED Groove 10 alu czarny 3000mm</t>
  </si>
  <si>
    <t>V-StrongLumio profil LED Groove 10 alu černý 4050mm (353543)</t>
  </si>
  <si>
    <t>V-StrongLumio profil LED Groove 10 alu čierny 4050mm</t>
  </si>
  <si>
    <t>V-TM-profil LED Groove 10 alu fekete 4050mm</t>
  </si>
  <si>
    <t>V-StrongLumio profil LED Groove 10 alu czarny 4050mm</t>
  </si>
  <si>
    <t>V-StrongLumio profil LED Slim alu anodovaný 2000mm (215826)</t>
  </si>
  <si>
    <t>V-StrongLumio profil LED Slim alu anodovaný 2000mm</t>
  </si>
  <si>
    <t>V-TM-profil LED Slim eloxált alumínium 2000mm</t>
  </si>
  <si>
    <t>V-StrongLumio profil LED Slim alu anodowany 2000mm</t>
  </si>
  <si>
    <t>V-StrongLumio profil LED Slim alu černá 2000mm</t>
  </si>
  <si>
    <t>V-StrongLumio profil LED Surface alu čierny 2000mm</t>
  </si>
  <si>
    <t>V-TM-profil LED Surface alu fekete 2000mm</t>
  </si>
  <si>
    <t>V-StrongLumio profil LED Surface alu czarny 2000mm</t>
  </si>
  <si>
    <t>V-StrongLumio profil LED Smart alu anodovaný 2000mm (285048)</t>
  </si>
  <si>
    <t>V-StrongLumio profil LED Smart alu anodovaný 2000mm.</t>
  </si>
  <si>
    <t>V-TM-profil LED Smart eloxált alumínium 2000mm</t>
  </si>
  <si>
    <t>V-StrongLumio profil LED Smart alu anodowany 2000mm</t>
  </si>
  <si>
    <t>V-StrongLumio profil LED Smart alu černá 2000mm (285050)</t>
  </si>
  <si>
    <t>V-StrongLumio profil LED Smart alu čierna 2000mm</t>
  </si>
  <si>
    <t>V-TM-profil LED Smart alu fekete 2000mm</t>
  </si>
  <si>
    <t>V-StrongLumio profil LED Smart alu czarny 2000mm</t>
  </si>
  <si>
    <t>V-StrongLumio profil LED Smart-In 10 alu anodovaný 2000mm</t>
  </si>
  <si>
    <t>V-TM-profil LED Smart-In10 alu anodovaný 2000mm</t>
  </si>
  <si>
    <t>V-TM-profil LED Smart-In10 eloxált alumínium 2000mm</t>
  </si>
  <si>
    <t>V-StrongLumio profil LED Smart-In10 alu anodowany 2000mm</t>
  </si>
  <si>
    <t>V-StrongLumio profil LED Surface 10 alu anodovaný 1000mm (130588)</t>
  </si>
  <si>
    <t>V-StrongLumio PROFIL LED SURFACE ALU ANOD. 1000MM</t>
  </si>
  <si>
    <t>V-TM-PROFIL LED SURFACE ALU ANOD.1000MM</t>
  </si>
  <si>
    <t>V-StrongLumio PROFIL LED SURFACE ALUM ANOD.1000MM</t>
  </si>
  <si>
    <t>V-StrongLumio profil LED Surface 10 alu anodovaný 2000mm (130589)</t>
  </si>
  <si>
    <t>V-StrongLumio PROFIL LED SURFACE ALU ANOD. 2000MM</t>
  </si>
  <si>
    <t>V-TM-PROFIL LED SURFACE ALU ANOD.2000MM</t>
  </si>
  <si>
    <t>V-StrongLumio PROFIL LED SURFACE ALUM ANOD.2000MM</t>
  </si>
  <si>
    <t>V-StrongLumio profil LED Surface 10 alu anodovaný 3000mm (244328)</t>
  </si>
  <si>
    <t>V-StrongLumio profil LED Surface alu anod. 3000mm (244328)</t>
  </si>
  <si>
    <t>V-profil LED Surface alu anod.3000 mm (244328)</t>
  </si>
  <si>
    <t>V-StrongLumio profil LED Surface 10 alu anodovaný 4050mm (252277)</t>
  </si>
  <si>
    <t>V-StrongLumio profil LED Surface alu anodovaný 4050mm</t>
  </si>
  <si>
    <t>V-TM-profil LED Surface eloxált alumínium 4050mm</t>
  </si>
  <si>
    <t>V-StrongLumio profil LED Surface alu anodowany 4050mm</t>
  </si>
  <si>
    <t>V-StrongLumio profil LED Surface 10 alu bílý 1000mm (231267)</t>
  </si>
  <si>
    <t>V-StrongLumio profil LED Surface alu biely 1000mm</t>
  </si>
  <si>
    <t>V-TM-profil LED Surface alu fehér 1000mm</t>
  </si>
  <si>
    <t>V-StrongLumio profil LED Surface alu biały 1000mm</t>
  </si>
  <si>
    <t>V-StrongLumio profil LED Surface 10 alu bílý 2000mm (230904)</t>
  </si>
  <si>
    <t>V-StrongLumio profil LED Surface alu biely 2000mm</t>
  </si>
  <si>
    <t>V-profil LED Surface Alu fehér 2000 mm</t>
  </si>
  <si>
    <t>V-StrongLumio profil LED Surface alu biały 2000mm</t>
  </si>
  <si>
    <t>V-StrongLumio profil LED Surface 10 alu bílý 3000mm (285023)</t>
  </si>
  <si>
    <t>V-StrongLumio profil LED Surface alu biely 3000mm</t>
  </si>
  <si>
    <t>V-TM-profil LED Surface alu fehér 3000mm</t>
  </si>
  <si>
    <t>V-StrongLumio profil LED Surface alu biały 3000mm</t>
  </si>
  <si>
    <t>V-StrongLumio profil LED Surface 10 alu bílý 4050mm (353540)</t>
  </si>
  <si>
    <t>V-StrongLumio profil LED Surface alu biely 4050mm</t>
  </si>
  <si>
    <t>V-TM-profil LED Surface alu fehér 4050mm</t>
  </si>
  <si>
    <t>V-StrongLumio profil LED Surface alu biały 4050mm</t>
  </si>
  <si>
    <t>V-StrongLumio profil LED Surface 10 alu černý 1000mm (231266)</t>
  </si>
  <si>
    <t>V-StrongLumio profil LED Surface alu čierny 1000mm</t>
  </si>
  <si>
    <t>V-TM-profil LED Surface alu fekete 1000mm</t>
  </si>
  <si>
    <t>V-StrongLumio profil LED Surface alu czarny 1000mm</t>
  </si>
  <si>
    <t>V-StrongLumio profil LED Surface 10 alu černý 2000mm (230903)</t>
  </si>
  <si>
    <t>V-profil LED Surface alu fekete 2000 mm</t>
  </si>
  <si>
    <t>V-StrongLumio profil LED Surface 10 alu černý 3000mm (275767)</t>
  </si>
  <si>
    <t>V-StrongLumio profil LED Surface alu čierny 3000mm</t>
  </si>
  <si>
    <t>V-TM-profil LED Surface alu fekete 3000mm</t>
  </si>
  <si>
    <t>V-StrongLumio profil LED Surface alu czarny 3000mm</t>
  </si>
  <si>
    <t>V-StrongLumio profil LED Surface 10 alu černý 4050mm (353541)</t>
  </si>
  <si>
    <t>V-StrongLumio profil LED Surface alu čierny 4050mm</t>
  </si>
  <si>
    <t>V-TM-profil LED Surface alu fekete 4050mm</t>
  </si>
  <si>
    <t>V-StrongLumio profil LED Surface alu czarny 4050mm</t>
  </si>
  <si>
    <t>V-StrongLumio profil Lucera narážecí alu anodovaný 2000mm + těsnění (359333)</t>
  </si>
  <si>
    <t>V-StrongLumio profil Lucera narážací alu anodovaný 2000mm + tesnenie</t>
  </si>
  <si>
    <t>V-StrongLumio LED profil Lucera, ráütéshez, eloxált alumínium, 2m</t>
  </si>
  <si>
    <t>V-StrongLumio profil Lucera wciskany alu anodowany 2000mm + uszczelka</t>
  </si>
  <si>
    <t>V-StrongLumio profil Lucera narážecí alu anodovaný 4000mm + těsnění</t>
  </si>
  <si>
    <t>V-StrongLumio profil Lucera narážací alu anodovaný 4000mm + tesnenie</t>
  </si>
  <si>
    <t>V-TM-profil Lucera rápattintható alu anodizált 4000mm</t>
  </si>
  <si>
    <t>V-StrongLumio profil Lucera wciskany alu anodowany 4000mm</t>
  </si>
  <si>
    <t>V-StrongLumio profil Lucera narážecí alu bílý lak 2000mm + těsnění</t>
  </si>
  <si>
    <t>V-StrongLumio profil LUCERA narážací alu biely lak 2000mm</t>
  </si>
  <si>
    <t>V-TM-profil Lucera rápattintható alu fehér lakk 2000mm</t>
  </si>
  <si>
    <t>V-StrongLumio profil Lucera wciskany alu biały lak 2000mm</t>
  </si>
  <si>
    <t>V-StrongLumio profil Lucera narážecí alu bílý lak 4000mm + těsnění</t>
  </si>
  <si>
    <t>V-StrongLumio profil Lucera narážací alu bielý lak 4000mm + tesnenie</t>
  </si>
  <si>
    <t>V-TM-profil Lucera rápattintható alu fehér lakk 4000mm</t>
  </si>
  <si>
    <t>V-StrongLumio profil Lucera wciskany alu biały lak 4000mm</t>
  </si>
  <si>
    <t>V-StrongLumio propojovací kabel k All in One jednotce - RGBCCT 2m (487574)</t>
  </si>
  <si>
    <t>V-StrongLumio prepojovací kábel k All in one jednotke - RGBCCT 2m</t>
  </si>
  <si>
    <t>V-StrongLumio csatlakozókábel az All in One egységhez - RGBCCT 2m</t>
  </si>
  <si>
    <t>V-StrongLumio Kabel połączeniowy do urządzenia All in One - RGBCCT 2m</t>
  </si>
  <si>
    <t>V-StrongLumio propojovací kabel kulatý konektor (Jack) Mini (fem) (342541)</t>
  </si>
  <si>
    <t>V-StrongLumio propojovací kábel guľatý konektor (Jack) Mini (fem)</t>
  </si>
  <si>
    <t>V-STRONG összekötő kábel gömbölyű csatlakozó (Jack) Mini (fem)</t>
  </si>
  <si>
    <t>V-StrongLumio kable łączące ze złaczkami (Jack) Mini (fem)</t>
  </si>
  <si>
    <t>V-StrongLumio přijímač pro bezdrát. samonapáj. vypínače 12/24V 2PIN CCT (546641)</t>
  </si>
  <si>
    <t>V-StrongLumio prijímač pre bezdrátové samonapájacie vypínače 12/24V 2PIN CCT</t>
  </si>
  <si>
    <t>V-StrongLumio vezérlő vezetéknélküli öntápláló kapcsolókhoz 12/24V 2PI</t>
  </si>
  <si>
    <t>V-StrongLumio odbiornik do bezprzewod wyłączników samonapędowych 12/24V 2PIN CCT</t>
  </si>
  <si>
    <t>V-StrongLumio přijímač pro bezdrátové samonapájecí vypínače 12/24V (467133)</t>
  </si>
  <si>
    <t>V-StrongLumio prijímač pre bezdrôtové samonapájacie vypínača</t>
  </si>
  <si>
    <t>V-StrongLumio odbiornik do  bezprzewodowych wyłączników samozasilających</t>
  </si>
  <si>
    <t>V-StrongLumio prijímač/rozvádzač pre bezdrôtové samonapájacie vypínače 12/24V</t>
  </si>
  <si>
    <t>V-StrongLumio odbiornik/rozdzielacz do bezprzew. przeł. 12/24 V z własnym zasil.</t>
  </si>
  <si>
    <t>V-StrongLumio připojovací kabel 1,8m Mini konektor (543616)</t>
  </si>
  <si>
    <t>V-StrongLumio pripojovací kábel 1,8m MINI konektor</t>
  </si>
  <si>
    <t>V-TM-csatlakozó kábel 1,8m Mini konnektor</t>
  </si>
  <si>
    <t>V-StrongLumio kabel zasilający 1,8m Mini konektor</t>
  </si>
  <si>
    <t>V-StrongLumio připojovací kabel s kulatým konektorem pro LED 0,15m (179054)</t>
  </si>
  <si>
    <t>V-StrongLumio pripojovací kábel s guľatým konektorom pre LED 0,15m</t>
  </si>
  <si>
    <t>V-STRONG összekötő kábel gömbölyű csatlakozóval LED-hez 0,15m</t>
  </si>
  <si>
    <t>V-StrongLumio kabel z okrągłą końcówką do LED 0,15m</t>
  </si>
  <si>
    <t>V-StrongLumio připojovací kabel s kulatým konektorem pro LED 2m (134114)</t>
  </si>
  <si>
    <t>V-StrongLumio PŘIP.KABEL S GUL.KON.PRE LED 2M</t>
  </si>
  <si>
    <t>V-YUS-CSATL.KÁBEL GÖMB.KONN.LED-hez 2M</t>
  </si>
  <si>
    <t>V-StrongLumio KABEL ŁĄCZ. Z OK. ZŁĄCZ. DO LED 2M</t>
  </si>
  <si>
    <t>V-StrongLumio RF dálkový vypínač/stmívač 12V/24V (223823)</t>
  </si>
  <si>
    <t>V-StrongLumio RF diaľkový vypínač/stmievač 12V/24V</t>
  </si>
  <si>
    <t>V-STRONG RF táv kapcsoló/fényerő szabályozó 12V/24V</t>
  </si>
  <si>
    <t>V-StrongLumio RF zdalne sterowanie - pilot wyłącznik/ściemniacz 12V/24V</t>
  </si>
  <si>
    <t>V-StrongLumio řídící jednotka RF univerzální 4 v 1 (405357)</t>
  </si>
  <si>
    <t>V-StrongLumio řídící jednotka RF univerzální 4 v 1</t>
  </si>
  <si>
    <t>V-StrongLumio řídící jednotka WiFi univerzální 5 v 1 - Smart (467117)</t>
  </si>
  <si>
    <t>V-StrongLumio řídící jednotka WiFi univerzální 5 v 1 - Smart</t>
  </si>
  <si>
    <t>V-STRONG univerzális WiFi vezérlőegység 5 az 1-ben - Smart</t>
  </si>
  <si>
    <t>V-StrongLumio jednotka sterująca WiFi uniwersalna 5 v 1 - Smart</t>
  </si>
  <si>
    <t>V-StrongLumio silikon. ohebný profil 8x16mm pro LED pásky do 10W/m 10mm (406053)</t>
  </si>
  <si>
    <t>V-StrongLumio silikonový ohybný profil 8x16mm pre LED pásiky do 10W/m 10mm</t>
  </si>
  <si>
    <t>V-STRONG szilikon rugalmas profil 8x16mm LED szalagokhoz akár 10W/m 10mm-ig</t>
  </si>
  <si>
    <t>StrongLumio silikonowy profil elastyczny 8x16mm do taśmy LED o mocy do 10W/m 10m</t>
  </si>
  <si>
    <t>V-StrongLumio spojka univerzální LED pásek/dvojlinka 8mm (507813)</t>
  </si>
  <si>
    <t>V-StrongLumio spojka univerzálna  LED pásik /dvojlinka 8 mm</t>
  </si>
  <si>
    <t>V-StrongLumio csatlakozó univerzális LED szalag/dupla vonal 8 mm</t>
  </si>
  <si>
    <t>V-StrongLumio uniwersalne szybkozłącze taśma/przewód dwużyłowy 8mm</t>
  </si>
  <si>
    <t>V-StrongLumio trojlinka kabel CCT plochý 3x0,35 (367822)</t>
  </si>
  <si>
    <t>V-StrongLumio háromeres kábel CCT lapos 3x0,35 (367822)</t>
  </si>
  <si>
    <t>V-StrongLumio úchyty pružinové pro LED profil (pár) (215054)</t>
  </si>
  <si>
    <t>V-StrongLumio úchyty pružinové pre LED prof. (pár)</t>
  </si>
  <si>
    <t>V-TM-rugós rögzítő elem LED profilhoz (pár)</t>
  </si>
  <si>
    <t>V-StrongLumio mocowania sprężynowe do LED profili (para)</t>
  </si>
  <si>
    <t>V-StrongLumio vklad do profilu LED Oval 2000mm (247572)</t>
  </si>
  <si>
    <t>V-StrongLumio vklad do profilu LED Oval 2000mm</t>
  </si>
  <si>
    <t>V-TM betét LED profilba Oval 2000mm</t>
  </si>
  <si>
    <t>V-StrongLumio wkład do profilu LED Owal 2000mm</t>
  </si>
  <si>
    <t>V-StrongLumio vypínač kolébkový R13 230V 4A bílý (SAL341)</t>
  </si>
  <si>
    <t>V-StrongLumio VYPÍNAČ KOLÍSKOVÝ R13, 230V, 4A, BIELY</t>
  </si>
  <si>
    <t>V-BILLENŐ KAPCSOLÓ R13, 230V, 4A, FEHÉR</t>
  </si>
  <si>
    <t>V-StrongLumio WYŁĄCZNIK KOŁYSKOWY R13, 230V, 4A,BIAŁ</t>
  </si>
  <si>
    <t>V-StrongLumio vypínač kolébkový R13 230V 4A černý (SAL342)</t>
  </si>
  <si>
    <t>V-StrongLumio vypínač kolísk. R13, 230V,4A,čiern</t>
  </si>
  <si>
    <t>V-billenő kapcsoló R13, 230V, 4A, FEKETE</t>
  </si>
  <si>
    <t>V-StrongLumio wyłącznik kołyskowy R13, 230V, 4A, czarny</t>
  </si>
  <si>
    <t>V-StrongLumio vypínač kolébkový R13 230V 4A hnědý (SAL344)</t>
  </si>
  <si>
    <t>V-StrongLumio VYPÍNAČ KOLÍSKOVÝ R13, 230V, 4A, HNEDÝ</t>
  </si>
  <si>
    <t>V-BILLENŐ KAPCSOLÓ R13, 230V, 4A, BARNA</t>
  </si>
  <si>
    <t>V-StrongLumio WYŁĄCZNIK KOŁYSKOWY R13, 230V, 4A, brązowy</t>
  </si>
  <si>
    <t>V-StrongLumio vypínač kolébkový R13 230V 4A šedý (SAL343)</t>
  </si>
  <si>
    <t>V-StrongLumio vypínač kolísk. R13, 230V,4A, šedý</t>
  </si>
  <si>
    <t>V-billenő kapcsoló R13, 230V, 4A, SZÜRKE</t>
  </si>
  <si>
    <t>V-StrongLumio wyłącznik kołyskowy R13, 230V, 4A,szar</t>
  </si>
  <si>
    <t>V-StrongLumio vypínač/dveřní senzor pro max. 3 čidla 12-24V 8A (342518)</t>
  </si>
  <si>
    <t>V-StrongLumio vypínač/dverný senzor pre max 3 čidla 12-24V 8A</t>
  </si>
  <si>
    <t>V-STRONG kapcsoló/mozgásérzékelő ajtóba max. 3 érzékelő 12-24V 8A</t>
  </si>
  <si>
    <t>V-StrongLumio wyłącznik/do max. 3 czujników 12-24V 8A</t>
  </si>
  <si>
    <t>V-StrongLumio vypínač/stmívač 12-24V 4A bílý konektory Mini (342517)</t>
  </si>
  <si>
    <t>V-StrongLumio vypínač/stmievač 12-24V 4A biely konektory Mini</t>
  </si>
  <si>
    <t>V-STRONG kapcsoló/fényerő szabályozó 12-24V 4A fehér csatlakozó Mini</t>
  </si>
  <si>
    <t>V-StrongLumio wyłacznik/ściemniacz 12-24V 4A biały konektory Mini</t>
  </si>
  <si>
    <t>V-StrongLumio vypínač/stmívač 12-24V 4A černý konektory Mini (342516)</t>
  </si>
  <si>
    <t>V-STRONG kapcsoló/fényerő szabályozó 12-24V 4A fekete csatlakozó Mini</t>
  </si>
  <si>
    <t>V-StrongLumio vypínač/stmívač 12-24V 4A stříbrný konektory Mini (405197)</t>
  </si>
  <si>
    <t>V-TL-LED pásek ohebný Z300 6,2W/m 12V neutrální bílá (462130)</t>
  </si>
  <si>
    <t>V-TL-napájecí zdroj pro LED 12V 150W IP67 (383240)</t>
  </si>
  <si>
    <t>V-TL-napájací zdroj pre LED 12V 150W IP67</t>
  </si>
  <si>
    <t>V-TL-tápegység LED hez 12V 150W IP67</t>
  </si>
  <si>
    <t>V-TL-zasilacz do LED 12V 150W IP67</t>
  </si>
  <si>
    <t>V-TL-přijímač dimLED PR 1KRF (359919)</t>
  </si>
  <si>
    <t>V-TL-Prijímač dimLED PR 1KRF</t>
  </si>
  <si>
    <t>V-TL-dimLED PR 1KRF vevőegység</t>
  </si>
  <si>
    <t>V-TL-odbiornik dimLED PR 1KRF</t>
  </si>
  <si>
    <t>V-Wago svorka 2x2,5mm (316055)</t>
  </si>
  <si>
    <t>V-Wago kapocs 2x2,5mm (316055)</t>
  </si>
  <si>
    <t>V-Wago zatrzask 2x2,5mm (316055)</t>
  </si>
  <si>
    <t>V-Wago svorka 3x2,5mm (507264)</t>
  </si>
  <si>
    <t>V-Wago kapocs 3x2,5mm (507264)</t>
  </si>
  <si>
    <t>V-Wago zatrzask 3x2,5mm (507264)</t>
  </si>
  <si>
    <t>Vyhřívané zrcadlo Rimini 800 x 1300mm černý elox</t>
  </si>
  <si>
    <t>Wago svorka 2x2,5mm</t>
  </si>
  <si>
    <t>Wago kapocs 2x2,5mm</t>
  </si>
  <si>
    <t>Wago zatrzask 2x2,5mm</t>
  </si>
  <si>
    <t>Wago svorka 3x2,5mm</t>
  </si>
  <si>
    <t>Wago vezeték összekötő 3x2,5mm</t>
  </si>
  <si>
    <t>Wago zatrzask 3x2,5mm</t>
  </si>
  <si>
    <t>Wago svorka páčková 5x2,5mm</t>
  </si>
  <si>
    <t>Wago vezeték összekötő 5x2,5mm</t>
  </si>
  <si>
    <t>Wago zatrzask 5x2,5mm</t>
  </si>
  <si>
    <t>Kód:</t>
  </si>
  <si>
    <t>Název:</t>
  </si>
  <si>
    <t>Upravit množství:</t>
  </si>
  <si>
    <t>Sleva:</t>
  </si>
  <si>
    <t>Cena po slevě:</t>
  </si>
  <si>
    <t>Cena/ks:</t>
  </si>
  <si>
    <t>Cena celkem:</t>
  </si>
  <si>
    <t>Celková délka LED pásku (m):</t>
  </si>
  <si>
    <t>Množství:</t>
  </si>
  <si>
    <t>515496</t>
  </si>
  <si>
    <t>515499</t>
  </si>
  <si>
    <t>529705</t>
  </si>
  <si>
    <t>362814</t>
  </si>
  <si>
    <t>365878</t>
  </si>
  <si>
    <t>364710</t>
  </si>
  <si>
    <t>393806</t>
  </si>
  <si>
    <t>552673</t>
  </si>
  <si>
    <t>552674</t>
  </si>
  <si>
    <t>292938</t>
  </si>
  <si>
    <t>526578</t>
  </si>
  <si>
    <t>405194</t>
  </si>
  <si>
    <t>404527</t>
  </si>
  <si>
    <t>467280</t>
  </si>
  <si>
    <t>539504</t>
  </si>
  <si>
    <t>467276</t>
  </si>
  <si>
    <t>536852</t>
  </si>
  <si>
    <t>467291</t>
  </si>
  <si>
    <t>467281</t>
  </si>
  <si>
    <t>467284</t>
  </si>
  <si>
    <t>292936</t>
  </si>
  <si>
    <t>467282</t>
  </si>
  <si>
    <t>353619</t>
  </si>
  <si>
    <t>404512</t>
  </si>
  <si>
    <t>457946</t>
  </si>
  <si>
    <t>501267</t>
  </si>
  <si>
    <t>312318</t>
  </si>
  <si>
    <t>536854</t>
  </si>
  <si>
    <t>555666</t>
  </si>
  <si>
    <t>555667</t>
  </si>
  <si>
    <t>555705</t>
  </si>
  <si>
    <t>555663</t>
  </si>
  <si>
    <t>408390</t>
  </si>
  <si>
    <t>413587</t>
  </si>
  <si>
    <t>358291</t>
  </si>
  <si>
    <t>405286</t>
  </si>
  <si>
    <t>358288</t>
  </si>
  <si>
    <t>358293</t>
  </si>
  <si>
    <t>405287</t>
  </si>
  <si>
    <t>358287</t>
  </si>
  <si>
    <t>358290</t>
  </si>
  <si>
    <t>405285</t>
  </si>
  <si>
    <t>358289</t>
  </si>
  <si>
    <t>356619</t>
  </si>
  <si>
    <t>356616</t>
  </si>
  <si>
    <t>405283</t>
  </si>
  <si>
    <t>356618</t>
  </si>
  <si>
    <t>356617</t>
  </si>
  <si>
    <t>405284</t>
  </si>
  <si>
    <t>356620</t>
  </si>
  <si>
    <t>356615</t>
  </si>
  <si>
    <t>405282</t>
  </si>
  <si>
    <t>356612</t>
  </si>
  <si>
    <t>306484</t>
  </si>
  <si>
    <t>405932</t>
  </si>
  <si>
    <t>515073</t>
  </si>
  <si>
    <t>487175</t>
  </si>
  <si>
    <t>487177</t>
  </si>
  <si>
    <t>536959</t>
  </si>
  <si>
    <t>263988</t>
  </si>
  <si>
    <t>179304</t>
  </si>
  <si>
    <t>515505</t>
  </si>
  <si>
    <t>515503</t>
  </si>
  <si>
    <t>392293</t>
  </si>
  <si>
    <t>392294</t>
  </si>
  <si>
    <t>392295</t>
  </si>
  <si>
    <t>515501</t>
  </si>
  <si>
    <t>515508</t>
  </si>
  <si>
    <t>546631</t>
  </si>
  <si>
    <t>544442</t>
  </si>
  <si>
    <t>482684</t>
  </si>
  <si>
    <t>482686</t>
  </si>
  <si>
    <t>482663</t>
  </si>
  <si>
    <t>482670</t>
  </si>
  <si>
    <t>482682</t>
  </si>
  <si>
    <t>482683</t>
  </si>
  <si>
    <t>306379</t>
  </si>
  <si>
    <t>378219</t>
  </si>
  <si>
    <t>422141</t>
  </si>
  <si>
    <t>530651</t>
  </si>
  <si>
    <t>522610</t>
  </si>
  <si>
    <t>231587</t>
  </si>
  <si>
    <t>392297</t>
  </si>
  <si>
    <t>509799</t>
  </si>
  <si>
    <t>304019</t>
  </si>
  <si>
    <t>231591</t>
  </si>
  <si>
    <t>317495</t>
  </si>
  <si>
    <t>231592</t>
  </si>
  <si>
    <t>317494</t>
  </si>
  <si>
    <t>515506</t>
  </si>
  <si>
    <t>527903</t>
  </si>
  <si>
    <t>520416</t>
  </si>
  <si>
    <t>545396</t>
  </si>
  <si>
    <t>545397</t>
  </si>
  <si>
    <t>545395</t>
  </si>
  <si>
    <t>531239</t>
  </si>
  <si>
    <t>545399</t>
  </si>
  <si>
    <t>545400</t>
  </si>
  <si>
    <t>545398</t>
  </si>
  <si>
    <t>545264</t>
  </si>
  <si>
    <t>541711</t>
  </si>
  <si>
    <t>545392</t>
  </si>
  <si>
    <t>545393</t>
  </si>
  <si>
    <t>545391</t>
  </si>
  <si>
    <t>515068</t>
  </si>
  <si>
    <t>556519</t>
  </si>
  <si>
    <t>522008</t>
  </si>
  <si>
    <t>507931</t>
  </si>
  <si>
    <t>552501</t>
  </si>
  <si>
    <t>553012</t>
  </si>
  <si>
    <t>548483</t>
  </si>
  <si>
    <t>516144</t>
  </si>
  <si>
    <t>531130</t>
  </si>
  <si>
    <t>525423</t>
  </si>
  <si>
    <t>524043</t>
  </si>
  <si>
    <t>521171</t>
  </si>
  <si>
    <t>265627</t>
  </si>
  <si>
    <t>541399</t>
  </si>
  <si>
    <t>389895</t>
  </si>
  <si>
    <t>521170</t>
  </si>
  <si>
    <t>521169</t>
  </si>
  <si>
    <t>477458</t>
  </si>
  <si>
    <t>182990</t>
  </si>
  <si>
    <t>183002</t>
  </si>
  <si>
    <t>231661</t>
  </si>
  <si>
    <t>356743</t>
  </si>
  <si>
    <t>477457</t>
  </si>
  <si>
    <t>183394</t>
  </si>
  <si>
    <t>273892</t>
  </si>
  <si>
    <t>268549</t>
  </si>
  <si>
    <t>229892</t>
  </si>
  <si>
    <t>500579</t>
  </si>
  <si>
    <t>182993</t>
  </si>
  <si>
    <t>157752</t>
  </si>
  <si>
    <t>157753</t>
  </si>
  <si>
    <t>389913</t>
  </si>
  <si>
    <t>347253</t>
  </si>
  <si>
    <t>273992</t>
  </si>
  <si>
    <t>392296</t>
  </si>
  <si>
    <t>301682</t>
  </si>
  <si>
    <t>301610</t>
  </si>
  <si>
    <t>388254</t>
  </si>
  <si>
    <t>460511</t>
  </si>
  <si>
    <t>134105</t>
  </si>
  <si>
    <t>551044</t>
  </si>
  <si>
    <t>486290</t>
  </si>
  <si>
    <t>486291</t>
  </si>
  <si>
    <t>486293</t>
  </si>
  <si>
    <t>486292</t>
  </si>
  <si>
    <t>486289</t>
  </si>
  <si>
    <t>486285</t>
  </si>
  <si>
    <t>486286</t>
  </si>
  <si>
    <t>486288</t>
  </si>
  <si>
    <t>486287</t>
  </si>
  <si>
    <t>486284</t>
  </si>
  <si>
    <t>405195</t>
  </si>
  <si>
    <t>374370</t>
  </si>
  <si>
    <t>405917</t>
  </si>
  <si>
    <t>405918</t>
  </si>
  <si>
    <t>405202</t>
  </si>
  <si>
    <t>546612</t>
  </si>
  <si>
    <t>546613</t>
  </si>
  <si>
    <t>535063</t>
  </si>
  <si>
    <t>535064</t>
  </si>
  <si>
    <t>467125</t>
  </si>
  <si>
    <t>491230</t>
  </si>
  <si>
    <t>467129</t>
  </si>
  <si>
    <t>467128</t>
  </si>
  <si>
    <t>467126</t>
  </si>
  <si>
    <t>491231</t>
  </si>
  <si>
    <t>467131</t>
  </si>
  <si>
    <t>467130</t>
  </si>
  <si>
    <t>467127</t>
  </si>
  <si>
    <t>491232</t>
  </si>
  <si>
    <t>467132</t>
  </si>
  <si>
    <t>546642</t>
  </si>
  <si>
    <t>546647</t>
  </si>
  <si>
    <t>535065</t>
  </si>
  <si>
    <t>535066</t>
  </si>
  <si>
    <t>342520</t>
  </si>
  <si>
    <t>342519</t>
  </si>
  <si>
    <t>467120</t>
  </si>
  <si>
    <t>544562</t>
  </si>
  <si>
    <t>467118</t>
  </si>
  <si>
    <t>405206</t>
  </si>
  <si>
    <t>342513</t>
  </si>
  <si>
    <t>546609</t>
  </si>
  <si>
    <t>551050</t>
  </si>
  <si>
    <t>484229</t>
  </si>
  <si>
    <t>405915</t>
  </si>
  <si>
    <t>405916</t>
  </si>
  <si>
    <t>342514</t>
  </si>
  <si>
    <t>374369</t>
  </si>
  <si>
    <t>546608</t>
  </si>
  <si>
    <t>465852</t>
  </si>
  <si>
    <t>347904</t>
  </si>
  <si>
    <t>356974</t>
  </si>
  <si>
    <t>356971</t>
  </si>
  <si>
    <t>356975</t>
  </si>
  <si>
    <t>356976</t>
  </si>
  <si>
    <t>356977</t>
  </si>
  <si>
    <t>507818</t>
  </si>
  <si>
    <t>546597</t>
  </si>
  <si>
    <t>546598</t>
  </si>
  <si>
    <t>285105</t>
  </si>
  <si>
    <t>342536</t>
  </si>
  <si>
    <t>342535</t>
  </si>
  <si>
    <t>342527</t>
  </si>
  <si>
    <t>405213</t>
  </si>
  <si>
    <t>342532</t>
  </si>
  <si>
    <t>230845</t>
  </si>
  <si>
    <t>342523</t>
  </si>
  <si>
    <t>342528</t>
  </si>
  <si>
    <t>405477</t>
  </si>
  <si>
    <t>405478</t>
  </si>
  <si>
    <t>546652</t>
  </si>
  <si>
    <t>546651</t>
  </si>
  <si>
    <t>546628</t>
  </si>
  <si>
    <t>406054</t>
  </si>
  <si>
    <t>406055</t>
  </si>
  <si>
    <t>343064</t>
  </si>
  <si>
    <t>354319</t>
  </si>
  <si>
    <t>285046</t>
  </si>
  <si>
    <t>285047</t>
  </si>
  <si>
    <t>285045</t>
  </si>
  <si>
    <t>469095</t>
  </si>
  <si>
    <t>315781</t>
  </si>
  <si>
    <t>531659</t>
  </si>
  <si>
    <t>531658</t>
  </si>
  <si>
    <t>531657</t>
  </si>
  <si>
    <t>462171</t>
  </si>
  <si>
    <t>462159</t>
  </si>
  <si>
    <t>462099</t>
  </si>
  <si>
    <t>215049</t>
  </si>
  <si>
    <t>285072</t>
  </si>
  <si>
    <t>130656</t>
  </si>
  <si>
    <t>367592</t>
  </si>
  <si>
    <t>405266</t>
  </si>
  <si>
    <t>405265</t>
  </si>
  <si>
    <t>552690</t>
  </si>
  <si>
    <t>552689</t>
  </si>
  <si>
    <t>552688</t>
  </si>
  <si>
    <t>552687</t>
  </si>
  <si>
    <t>214915</t>
  </si>
  <si>
    <t>405267</t>
  </si>
  <si>
    <t>285032</t>
  </si>
  <si>
    <t>285033</t>
  </si>
  <si>
    <t>215852</t>
  </si>
  <si>
    <t>285057</t>
  </si>
  <si>
    <t>285058</t>
  </si>
  <si>
    <t>285056</t>
  </si>
  <si>
    <t>356630</t>
  </si>
  <si>
    <t>413522</t>
  </si>
  <si>
    <t>413521</t>
  </si>
  <si>
    <t>255928</t>
  </si>
  <si>
    <t>130659</t>
  </si>
  <si>
    <t>529702</t>
  </si>
  <si>
    <t>546594</t>
  </si>
  <si>
    <t>405293</t>
  </si>
  <si>
    <t>405291</t>
  </si>
  <si>
    <t>546595</t>
  </si>
  <si>
    <t>406056</t>
  </si>
  <si>
    <t>535091</t>
  </si>
  <si>
    <t>546637</t>
  </si>
  <si>
    <t>318491</t>
  </si>
  <si>
    <t>215850</t>
  </si>
  <si>
    <t>215845</t>
  </si>
  <si>
    <t>215847</t>
  </si>
  <si>
    <t>215846</t>
  </si>
  <si>
    <t>215848</t>
  </si>
  <si>
    <t>285031</t>
  </si>
  <si>
    <t>279388</t>
  </si>
  <si>
    <t>130642</t>
  </si>
  <si>
    <t>130645</t>
  </si>
  <si>
    <t>130643</t>
  </si>
  <si>
    <t>130646</t>
  </si>
  <si>
    <t>130649</t>
  </si>
  <si>
    <t>416702</t>
  </si>
  <si>
    <t>404412</t>
  </si>
  <si>
    <t>405262</t>
  </si>
  <si>
    <t>405263</t>
  </si>
  <si>
    <t>405264</t>
  </si>
  <si>
    <t>424699</t>
  </si>
  <si>
    <t>505947</t>
  </si>
  <si>
    <t>472725</t>
  </si>
  <si>
    <t>505946</t>
  </si>
  <si>
    <t>505948</t>
  </si>
  <si>
    <t>413516</t>
  </si>
  <si>
    <t>255931</t>
  </si>
  <si>
    <t>469094</t>
  </si>
  <si>
    <t>461853</t>
  </si>
  <si>
    <t>461849</t>
  </si>
  <si>
    <t>461847</t>
  </si>
  <si>
    <t>461859</t>
  </si>
  <si>
    <t>408366</t>
  </si>
  <si>
    <t>408365</t>
  </si>
  <si>
    <t>461874</t>
  </si>
  <si>
    <t>461863</t>
  </si>
  <si>
    <t>461860</t>
  </si>
  <si>
    <t>461888</t>
  </si>
  <si>
    <t>462076</t>
  </si>
  <si>
    <t>461887</t>
  </si>
  <si>
    <t>461886</t>
  </si>
  <si>
    <t>130651</t>
  </si>
  <si>
    <t>130654</t>
  </si>
  <si>
    <t>130652</t>
  </si>
  <si>
    <t>130655</t>
  </si>
  <si>
    <t>215050</t>
  </si>
  <si>
    <t>215052</t>
  </si>
  <si>
    <t>215051</t>
  </si>
  <si>
    <t>215053</t>
  </si>
  <si>
    <t>342525</t>
  </si>
  <si>
    <t>505780</t>
  </si>
  <si>
    <t>230901</t>
  </si>
  <si>
    <t>230902</t>
  </si>
  <si>
    <t>367363</t>
  </si>
  <si>
    <t>535187</t>
  </si>
  <si>
    <t>285071</t>
  </si>
  <si>
    <t>550965</t>
  </si>
  <si>
    <t>550964</t>
  </si>
  <si>
    <t>551031</t>
  </si>
  <si>
    <t>551030</t>
  </si>
  <si>
    <t>550763</t>
  </si>
  <si>
    <t>550762</t>
  </si>
  <si>
    <t>550767</t>
  </si>
  <si>
    <t>550766</t>
  </si>
  <si>
    <t>315145</t>
  </si>
  <si>
    <t>367249</t>
  </si>
  <si>
    <t>342526</t>
  </si>
  <si>
    <t>405212</t>
  </si>
  <si>
    <t>405211</t>
  </si>
  <si>
    <t>367242</t>
  </si>
  <si>
    <t>342531</t>
  </si>
  <si>
    <t>367241</t>
  </si>
  <si>
    <t>342522</t>
  </si>
  <si>
    <t>405281</t>
  </si>
  <si>
    <t>312317</t>
  </si>
  <si>
    <t>312315</t>
  </si>
  <si>
    <t>231396</t>
  </si>
  <si>
    <t>231401</t>
  </si>
  <si>
    <t>250030</t>
  </si>
  <si>
    <t>231388</t>
  </si>
  <si>
    <t>231394</t>
  </si>
  <si>
    <t>134102</t>
  </si>
  <si>
    <t>291403</t>
  </si>
  <si>
    <t>132276</t>
  </si>
  <si>
    <t>157844</t>
  </si>
  <si>
    <t>132266</t>
  </si>
  <si>
    <t>132267</t>
  </si>
  <si>
    <t>249934</t>
  </si>
  <si>
    <t>131573</t>
  </si>
  <si>
    <t>132251</t>
  </si>
  <si>
    <t>250029</t>
  </si>
  <si>
    <t>231387</t>
  </si>
  <si>
    <t>231392</t>
  </si>
  <si>
    <t>379836</t>
  </si>
  <si>
    <t>472113</t>
  </si>
  <si>
    <t>472114</t>
  </si>
  <si>
    <t>284561</t>
  </si>
  <si>
    <t>284562</t>
  </si>
  <si>
    <t>284560</t>
  </si>
  <si>
    <t>406139</t>
  </si>
  <si>
    <t>406140</t>
  </si>
  <si>
    <t>355850</t>
  </si>
  <si>
    <t>355851</t>
  </si>
  <si>
    <t>355849</t>
  </si>
  <si>
    <t>405176</t>
  </si>
  <si>
    <t>284602</t>
  </si>
  <si>
    <t>284569</t>
  </si>
  <si>
    <t>284567</t>
  </si>
  <si>
    <t>284568</t>
  </si>
  <si>
    <t>284566</t>
  </si>
  <si>
    <t>472112</t>
  </si>
  <si>
    <t>393024</t>
  </si>
  <si>
    <t>355854</t>
  </si>
  <si>
    <t>355855</t>
  </si>
  <si>
    <t>355853</t>
  </si>
  <si>
    <t>405360</t>
  </si>
  <si>
    <t>405361</t>
  </si>
  <si>
    <t>405359</t>
  </si>
  <si>
    <t>355847</t>
  </si>
  <si>
    <t>355848</t>
  </si>
  <si>
    <t>355846</t>
  </si>
  <si>
    <t>284555</t>
  </si>
  <si>
    <t>284556</t>
  </si>
  <si>
    <t>284554</t>
  </si>
  <si>
    <t>535897</t>
  </si>
  <si>
    <t>509066</t>
  </si>
  <si>
    <t>509067</t>
  </si>
  <si>
    <t>509065</t>
  </si>
  <si>
    <t>544535</t>
  </si>
  <si>
    <t>544536</t>
  </si>
  <si>
    <t>544534</t>
  </si>
  <si>
    <t>544705</t>
  </si>
  <si>
    <t>472110</t>
  </si>
  <si>
    <t>491405</t>
  </si>
  <si>
    <t>491416</t>
  </si>
  <si>
    <t>491417</t>
  </si>
  <si>
    <t>544583</t>
  </si>
  <si>
    <t>472108</t>
  </si>
  <si>
    <t>472107</t>
  </si>
  <si>
    <t>472109</t>
  </si>
  <si>
    <t>472111</t>
  </si>
  <si>
    <t>544532</t>
  </si>
  <si>
    <t>544533</t>
  </si>
  <si>
    <t>544503</t>
  </si>
  <si>
    <t>544585</t>
  </si>
  <si>
    <t>544586</t>
  </si>
  <si>
    <t>544584</t>
  </si>
  <si>
    <t>544564</t>
  </si>
  <si>
    <t>544595</t>
  </si>
  <si>
    <t>544596</t>
  </si>
  <si>
    <t>544594</t>
  </si>
  <si>
    <t>544592</t>
  </si>
  <si>
    <t>544593</t>
  </si>
  <si>
    <t>544587</t>
  </si>
  <si>
    <t>546649</t>
  </si>
  <si>
    <t>524858</t>
  </si>
  <si>
    <t>546648</t>
  </si>
  <si>
    <t>405177</t>
  </si>
  <si>
    <t>546626</t>
  </si>
  <si>
    <t>546625</t>
  </si>
  <si>
    <t>544701</t>
  </si>
  <si>
    <t>544702</t>
  </si>
  <si>
    <t>544598</t>
  </si>
  <si>
    <t>544704</t>
  </si>
  <si>
    <t>531292</t>
  </si>
  <si>
    <t>342540</t>
  </si>
  <si>
    <t>529953</t>
  </si>
  <si>
    <t>342539</t>
  </si>
  <si>
    <t>546600</t>
  </si>
  <si>
    <t>546599</t>
  </si>
  <si>
    <t>392223</t>
  </si>
  <si>
    <t>215772</t>
  </si>
  <si>
    <t>215666</t>
  </si>
  <si>
    <t>471803</t>
  </si>
  <si>
    <t>467484</t>
  </si>
  <si>
    <t>546602</t>
  </si>
  <si>
    <t>543615</t>
  </si>
  <si>
    <t>381175</t>
  </si>
  <si>
    <t>484187</t>
  </si>
  <si>
    <t>484185</t>
  </si>
  <si>
    <t>542930</t>
  </si>
  <si>
    <t>484186</t>
  </si>
  <si>
    <t>484190</t>
  </si>
  <si>
    <t>484188</t>
  </si>
  <si>
    <t>542931</t>
  </si>
  <si>
    <t>484189</t>
  </si>
  <si>
    <t>544904</t>
  </si>
  <si>
    <t>544903</t>
  </si>
  <si>
    <t>405187</t>
  </si>
  <si>
    <t>405183</t>
  </si>
  <si>
    <t>405184</t>
  </si>
  <si>
    <t>405185</t>
  </si>
  <si>
    <t>405186</t>
  </si>
  <si>
    <t>544906</t>
  </si>
  <si>
    <t>544907</t>
  </si>
  <si>
    <t>544902</t>
  </si>
  <si>
    <t>284622</t>
  </si>
  <si>
    <t>284623</t>
  </si>
  <si>
    <t>405188</t>
  </si>
  <si>
    <t>284624</t>
  </si>
  <si>
    <t>544898</t>
  </si>
  <si>
    <t>544900</t>
  </si>
  <si>
    <t>353250</t>
  </si>
  <si>
    <t>405179</t>
  </si>
  <si>
    <t>405180</t>
  </si>
  <si>
    <t>405181</t>
  </si>
  <si>
    <t>405178</t>
  </si>
  <si>
    <t>405182</t>
  </si>
  <si>
    <t>544899</t>
  </si>
  <si>
    <t>544901</t>
  </si>
  <si>
    <t>405173</t>
  </si>
  <si>
    <t>284620</t>
  </si>
  <si>
    <t>284616</t>
  </si>
  <si>
    <t>284617</t>
  </si>
  <si>
    <t>284618</t>
  </si>
  <si>
    <t>284619</t>
  </si>
  <si>
    <t>467122</t>
  </si>
  <si>
    <t>467123</t>
  </si>
  <si>
    <t>467124</t>
  </si>
  <si>
    <t>467121</t>
  </si>
  <si>
    <t>367822</t>
  </si>
  <si>
    <t>276497</t>
  </si>
  <si>
    <t>489472</t>
  </si>
  <si>
    <t>399079</t>
  </si>
  <si>
    <t>484233</t>
  </si>
  <si>
    <t>405198</t>
  </si>
  <si>
    <t>405196</t>
  </si>
  <si>
    <t>405209</t>
  </si>
  <si>
    <t>343040</t>
  </si>
  <si>
    <t>405200</t>
  </si>
  <si>
    <t>405199</t>
  </si>
  <si>
    <t>405201</t>
  </si>
  <si>
    <t>284572</t>
  </si>
  <si>
    <t>362939</t>
  </si>
  <si>
    <t>205239</t>
  </si>
  <si>
    <t>507817</t>
  </si>
  <si>
    <t>285110</t>
  </si>
  <si>
    <t>343063</t>
  </si>
  <si>
    <t>405210</t>
  </si>
  <si>
    <t>230930</t>
  </si>
  <si>
    <t>537693</t>
  </si>
  <si>
    <t>473446</t>
  </si>
  <si>
    <t>539662</t>
  </si>
  <si>
    <t>539663</t>
  </si>
  <si>
    <t>533732</t>
  </si>
  <si>
    <t>342524</t>
  </si>
  <si>
    <t>285082</t>
  </si>
  <si>
    <t>469092</t>
  </si>
  <si>
    <t>534610</t>
  </si>
  <si>
    <t>542856</t>
  </si>
  <si>
    <t>469093</t>
  </si>
  <si>
    <t>481838</t>
  </si>
  <si>
    <t>315780</t>
  </si>
  <si>
    <t>484130</t>
  </si>
  <si>
    <t>548423</t>
  </si>
  <si>
    <t>231271</t>
  </si>
  <si>
    <t>231270</t>
  </si>
  <si>
    <t>408364</t>
  </si>
  <si>
    <t>522724</t>
  </si>
  <si>
    <t>531534</t>
  </si>
  <si>
    <t>531538</t>
  </si>
  <si>
    <t>531537</t>
  </si>
  <si>
    <t>531541</t>
  </si>
  <si>
    <t>531535</t>
  </si>
  <si>
    <t>531539</t>
  </si>
  <si>
    <t>461836</t>
  </si>
  <si>
    <t>461812</t>
  </si>
  <si>
    <t>461786</t>
  </si>
  <si>
    <t>461818</t>
  </si>
  <si>
    <t>461787</t>
  </si>
  <si>
    <t>461775</t>
  </si>
  <si>
    <t>461789</t>
  </si>
  <si>
    <t>461835</t>
  </si>
  <si>
    <t>461843</t>
  </si>
  <si>
    <t>461844</t>
  </si>
  <si>
    <t>461811</t>
  </si>
  <si>
    <t>461824</t>
  </si>
  <si>
    <t>342530</t>
  </si>
  <si>
    <t>215047</t>
  </si>
  <si>
    <t>215048</t>
  </si>
  <si>
    <t>367362</t>
  </si>
  <si>
    <t>535186</t>
  </si>
  <si>
    <t>285070</t>
  </si>
  <si>
    <t>550330</t>
  </si>
  <si>
    <t>532734</t>
  </si>
  <si>
    <t>532729</t>
  </si>
  <si>
    <t>532739</t>
  </si>
  <si>
    <t>231269</t>
  </si>
  <si>
    <t>231268</t>
  </si>
  <si>
    <t>408363</t>
  </si>
  <si>
    <t>405259</t>
  </si>
  <si>
    <t>405260</t>
  </si>
  <si>
    <t>405261</t>
  </si>
  <si>
    <t>405272</t>
  </si>
  <si>
    <t>405273</t>
  </si>
  <si>
    <t>405271</t>
  </si>
  <si>
    <t>550759</t>
  </si>
  <si>
    <t>550648</t>
  </si>
  <si>
    <t>550761</t>
  </si>
  <si>
    <t>550760</t>
  </si>
  <si>
    <t>550643</t>
  </si>
  <si>
    <t>550642</t>
  </si>
  <si>
    <t>550645</t>
  </si>
  <si>
    <t>550644</t>
  </si>
  <si>
    <t>222577</t>
  </si>
  <si>
    <t>198916</t>
  </si>
  <si>
    <t>342521</t>
  </si>
  <si>
    <t>318489</t>
  </si>
  <si>
    <t>230866</t>
  </si>
  <si>
    <t>230867</t>
  </si>
  <si>
    <t>405280</t>
  </si>
  <si>
    <t>412931</t>
  </si>
  <si>
    <t>405268</t>
  </si>
  <si>
    <t>405269</t>
  </si>
  <si>
    <t>405270</t>
  </si>
  <si>
    <t>315779</t>
  </si>
  <si>
    <t>529699</t>
  </si>
  <si>
    <t>529700</t>
  </si>
  <si>
    <t>215825</t>
  </si>
  <si>
    <t>285027</t>
  </si>
  <si>
    <t>285028</t>
  </si>
  <si>
    <t>215826</t>
  </si>
  <si>
    <t>285029</t>
  </si>
  <si>
    <t>285049</t>
  </si>
  <si>
    <t>285050</t>
  </si>
  <si>
    <t>285048</t>
  </si>
  <si>
    <t>285051</t>
  </si>
  <si>
    <t>367598</t>
  </si>
  <si>
    <t>367595</t>
  </si>
  <si>
    <t>367599</t>
  </si>
  <si>
    <t>367596</t>
  </si>
  <si>
    <t>367600</t>
  </si>
  <si>
    <t>367597</t>
  </si>
  <si>
    <t>424669</t>
  </si>
  <si>
    <t>356623</t>
  </si>
  <si>
    <t>413509</t>
  </si>
  <si>
    <t>413511</t>
  </si>
  <si>
    <t>413512</t>
  </si>
  <si>
    <t>231267</t>
  </si>
  <si>
    <t>231266</t>
  </si>
  <si>
    <t>353540</t>
  </si>
  <si>
    <t>255925</t>
  </si>
  <si>
    <t>255926</t>
  </si>
  <si>
    <t>457218</t>
  </si>
  <si>
    <t>224549</t>
  </si>
  <si>
    <t>130639</t>
  </si>
  <si>
    <t>179745</t>
  </si>
  <si>
    <t>130640</t>
  </si>
  <si>
    <t>467080</t>
  </si>
  <si>
    <t>467088</t>
  </si>
  <si>
    <t>467079</t>
  </si>
  <si>
    <t>546227</t>
  </si>
  <si>
    <t>359334</t>
  </si>
  <si>
    <t>359333</t>
  </si>
  <si>
    <t>359427</t>
  </si>
  <si>
    <t>359426</t>
  </si>
  <si>
    <t>487571</t>
  </si>
  <si>
    <t>487576</t>
  </si>
  <si>
    <t>487570</t>
  </si>
  <si>
    <t>487575</t>
  </si>
  <si>
    <t>487572</t>
  </si>
  <si>
    <t>487577</t>
  </si>
  <si>
    <t>487574</t>
  </si>
  <si>
    <t>487573</t>
  </si>
  <si>
    <t>342541</t>
  </si>
  <si>
    <t>546610</t>
  </si>
  <si>
    <t>546611</t>
  </si>
  <si>
    <t>467133</t>
  </si>
  <si>
    <t>546641</t>
  </si>
  <si>
    <t>546639</t>
  </si>
  <si>
    <t>469139</t>
  </si>
  <si>
    <t>535062</t>
  </si>
  <si>
    <t>543616</t>
  </si>
  <si>
    <t>405189</t>
  </si>
  <si>
    <t>543631</t>
  </si>
  <si>
    <t>409452</t>
  </si>
  <si>
    <t>179054</t>
  </si>
  <si>
    <t>134114</t>
  </si>
  <si>
    <t>546627</t>
  </si>
  <si>
    <t>285094</t>
  </si>
  <si>
    <t>546601</t>
  </si>
  <si>
    <t>223823</t>
  </si>
  <si>
    <t>284574</t>
  </si>
  <si>
    <t>356328</t>
  </si>
  <si>
    <t>285093</t>
  </si>
  <si>
    <t>405191</t>
  </si>
  <si>
    <t>405192</t>
  </si>
  <si>
    <t>405193</t>
  </si>
  <si>
    <t>546638</t>
  </si>
  <si>
    <t>405357</t>
  </si>
  <si>
    <t>467117</t>
  </si>
  <si>
    <t>546596</t>
  </si>
  <si>
    <t>555764</t>
  </si>
  <si>
    <t>555763</t>
  </si>
  <si>
    <t>555762</t>
  </si>
  <si>
    <t>555767</t>
  </si>
  <si>
    <t>555766</t>
  </si>
  <si>
    <t>555765</t>
  </si>
  <si>
    <t>554672</t>
  </si>
  <si>
    <t>554671</t>
  </si>
  <si>
    <t>554666</t>
  </si>
  <si>
    <t>554675</t>
  </si>
  <si>
    <t>554674</t>
  </si>
  <si>
    <t>554673</t>
  </si>
  <si>
    <t>551045</t>
  </si>
  <si>
    <t>406053</t>
  </si>
  <si>
    <t>503155</t>
  </si>
  <si>
    <t>359355</t>
  </si>
  <si>
    <t>377420</t>
  </si>
  <si>
    <t>514023</t>
  </si>
  <si>
    <t>481469</t>
  </si>
  <si>
    <t>359353</t>
  </si>
  <si>
    <t>551112</t>
  </si>
  <si>
    <t>535067</t>
  </si>
  <si>
    <t>388183</t>
  </si>
  <si>
    <t>543623</t>
  </si>
  <si>
    <t>543624</t>
  </si>
  <si>
    <t>543620</t>
  </si>
  <si>
    <t>543621</t>
  </si>
  <si>
    <t>543617</t>
  </si>
  <si>
    <t>543618</t>
  </si>
  <si>
    <t>388184</t>
  </si>
  <si>
    <t>378297</t>
  </si>
  <si>
    <t>487105</t>
  </si>
  <si>
    <t>487107</t>
  </si>
  <si>
    <t>487104</t>
  </si>
  <si>
    <t>467202</t>
  </si>
  <si>
    <t>467201</t>
  </si>
  <si>
    <t>467204</t>
  </si>
  <si>
    <t>467203</t>
  </si>
  <si>
    <t>487108</t>
  </si>
  <si>
    <t>487106</t>
  </si>
  <si>
    <t>467206</t>
  </si>
  <si>
    <t>467219</t>
  </si>
  <si>
    <t>467220</t>
  </si>
  <si>
    <t>467221</t>
  </si>
  <si>
    <t>467223</t>
  </si>
  <si>
    <t>467210</t>
  </si>
  <si>
    <t>467224</t>
  </si>
  <si>
    <t>467211</t>
  </si>
  <si>
    <t>467222</t>
  </si>
  <si>
    <t>467217</t>
  </si>
  <si>
    <t>467212</t>
  </si>
  <si>
    <t>467213</t>
  </si>
  <si>
    <t>467214</t>
  </si>
  <si>
    <t>342538</t>
  </si>
  <si>
    <t>467216</t>
  </si>
  <si>
    <t>467215</t>
  </si>
  <si>
    <t>467225</t>
  </si>
  <si>
    <t>467226</t>
  </si>
  <si>
    <t>342537</t>
  </si>
  <si>
    <t>467209</t>
  </si>
  <si>
    <t>507816</t>
  </si>
  <si>
    <t>507815</t>
  </si>
  <si>
    <t>388187</t>
  </si>
  <si>
    <t>388189</t>
  </si>
  <si>
    <t>543625</t>
  </si>
  <si>
    <t>543626</t>
  </si>
  <si>
    <t>543629</t>
  </si>
  <si>
    <t>543630</t>
  </si>
  <si>
    <t>543627</t>
  </si>
  <si>
    <t>543628</t>
  </si>
  <si>
    <t>543622</t>
  </si>
  <si>
    <t>543619</t>
  </si>
  <si>
    <t>507814</t>
  </si>
  <si>
    <t>507813</t>
  </si>
  <si>
    <t>551049</t>
  </si>
  <si>
    <t>551048</t>
  </si>
  <si>
    <t>405214</t>
  </si>
  <si>
    <t>342529</t>
  </si>
  <si>
    <t>342533</t>
  </si>
  <si>
    <t>504168</t>
  </si>
  <si>
    <t>230893</t>
  </si>
  <si>
    <t>130663</t>
  </si>
  <si>
    <t>215054</t>
  </si>
  <si>
    <t>462078</t>
  </si>
  <si>
    <t>285059</t>
  </si>
  <si>
    <t>285060</t>
  </si>
  <si>
    <t>230862</t>
  </si>
  <si>
    <t>422011</t>
  </si>
  <si>
    <t>134116</t>
  </si>
  <si>
    <t>134117</t>
  </si>
  <si>
    <t>342518</t>
  </si>
  <si>
    <t>492726</t>
  </si>
  <si>
    <t>484231</t>
  </si>
  <si>
    <t>484230</t>
  </si>
  <si>
    <t>484232</t>
  </si>
  <si>
    <t>342517</t>
  </si>
  <si>
    <t>342516</t>
  </si>
  <si>
    <t>405197</t>
  </si>
  <si>
    <t>551047</t>
  </si>
  <si>
    <t>551046</t>
  </si>
  <si>
    <t>506930</t>
  </si>
  <si>
    <t>405959</t>
  </si>
  <si>
    <t>367817</t>
  </si>
  <si>
    <t>420157</t>
  </si>
  <si>
    <t>359916</t>
  </si>
  <si>
    <t>360649</t>
  </si>
  <si>
    <t>460878</t>
  </si>
  <si>
    <t>299726</t>
  </si>
  <si>
    <t>378068</t>
  </si>
  <si>
    <t>383234</t>
  </si>
  <si>
    <t>535382</t>
  </si>
  <si>
    <t>543010</t>
  </si>
  <si>
    <t>405960</t>
  </si>
  <si>
    <t>552964</t>
  </si>
  <si>
    <t>543529</t>
  </si>
  <si>
    <t>537998</t>
  </si>
  <si>
    <t>544752</t>
  </si>
  <si>
    <t>544753</t>
  </si>
  <si>
    <t>543008</t>
  </si>
  <si>
    <t>367820</t>
  </si>
  <si>
    <t>469216</t>
  </si>
  <si>
    <t>536436</t>
  </si>
  <si>
    <t>462130</t>
  </si>
  <si>
    <t>535844</t>
  </si>
  <si>
    <t>389236</t>
  </si>
  <si>
    <t>536437</t>
  </si>
  <si>
    <t>421970</t>
  </si>
  <si>
    <t>421799</t>
  </si>
  <si>
    <t>385976</t>
  </si>
  <si>
    <t>505522</t>
  </si>
  <si>
    <t>362793</t>
  </si>
  <si>
    <t>516619</t>
  </si>
  <si>
    <t>516647</t>
  </si>
  <si>
    <t>525305</t>
  </si>
  <si>
    <t>471198</t>
  </si>
  <si>
    <t>521085</t>
  </si>
  <si>
    <t>509739</t>
  </si>
  <si>
    <t>526368</t>
  </si>
  <si>
    <t>539102</t>
  </si>
  <si>
    <t>538557</t>
  </si>
  <si>
    <t>506466</t>
  </si>
  <si>
    <t>284013</t>
  </si>
  <si>
    <t>500718</t>
  </si>
  <si>
    <t>509708</t>
  </si>
  <si>
    <t>411166</t>
  </si>
  <si>
    <t>359919</t>
  </si>
  <si>
    <t>375103</t>
  </si>
  <si>
    <t>360650</t>
  </si>
  <si>
    <t>378069</t>
  </si>
  <si>
    <t>399117</t>
  </si>
  <si>
    <t>399114</t>
  </si>
  <si>
    <t>245927</t>
  </si>
  <si>
    <t>245928</t>
  </si>
  <si>
    <t>269014</t>
  </si>
  <si>
    <t>413580</t>
  </si>
  <si>
    <t>413581</t>
  </si>
  <si>
    <t>413579</t>
  </si>
  <si>
    <t>472742</t>
  </si>
  <si>
    <t>472746</t>
  </si>
  <si>
    <t>472753</t>
  </si>
  <si>
    <t>548085</t>
  </si>
  <si>
    <t>549851</t>
  </si>
  <si>
    <t>549580</t>
  </si>
  <si>
    <t>498545</t>
  </si>
  <si>
    <t>310781</t>
  </si>
  <si>
    <t>367624</t>
  </si>
  <si>
    <t>376379</t>
  </si>
  <si>
    <t>548045</t>
  </si>
  <si>
    <t>544506</t>
  </si>
  <si>
    <t>421501</t>
  </si>
  <si>
    <t>376947</t>
  </si>
  <si>
    <t>556062</t>
  </si>
  <si>
    <t>487129</t>
  </si>
  <si>
    <t>520610</t>
  </si>
  <si>
    <t>491286</t>
  </si>
  <si>
    <t>500261</t>
  </si>
  <si>
    <t>484708</t>
  </si>
  <si>
    <t>372737</t>
  </si>
  <si>
    <t>372736</t>
  </si>
  <si>
    <t>491287</t>
  </si>
  <si>
    <t>475043</t>
  </si>
  <si>
    <t>414107</t>
  </si>
  <si>
    <t>364728</t>
  </si>
  <si>
    <t>504789</t>
  </si>
  <si>
    <t>504790</t>
  </si>
  <si>
    <t>363091</t>
  </si>
  <si>
    <t>376945</t>
  </si>
  <si>
    <t>465854</t>
  </si>
  <si>
    <t>347905</t>
  </si>
  <si>
    <t>523508</t>
  </si>
  <si>
    <t>245925</t>
  </si>
  <si>
    <t>529568</t>
  </si>
  <si>
    <t>472234</t>
  </si>
  <si>
    <t>368104</t>
  </si>
  <si>
    <t>529562</t>
  </si>
  <si>
    <t>343090</t>
  </si>
  <si>
    <t>385087</t>
  </si>
  <si>
    <t>310690</t>
  </si>
  <si>
    <t>310691</t>
  </si>
  <si>
    <t>310689</t>
  </si>
  <si>
    <t>310696</t>
  </si>
  <si>
    <t>310698</t>
  </si>
  <si>
    <t>308442</t>
  </si>
  <si>
    <t>484675</t>
  </si>
  <si>
    <t>310776</t>
  </si>
  <si>
    <t>306403</t>
  </si>
  <si>
    <t>245926</t>
  </si>
  <si>
    <t>208145</t>
  </si>
  <si>
    <t>306365</t>
  </si>
  <si>
    <t>528044</t>
  </si>
  <si>
    <t>208146</t>
  </si>
  <si>
    <t>336098</t>
  </si>
  <si>
    <t>385088</t>
  </si>
  <si>
    <t>306367</t>
  </si>
  <si>
    <t>208147</t>
  </si>
  <si>
    <t>529723</t>
  </si>
  <si>
    <t>553787</t>
  </si>
  <si>
    <t>221121</t>
  </si>
  <si>
    <t>308441</t>
  </si>
  <si>
    <t>310731</t>
  </si>
  <si>
    <t>310732</t>
  </si>
  <si>
    <t>482669</t>
  </si>
  <si>
    <t>464120</t>
  </si>
  <si>
    <t>464121</t>
  </si>
  <si>
    <t>464122</t>
  </si>
  <si>
    <t>221123</t>
  </si>
  <si>
    <t>221124</t>
  </si>
  <si>
    <t>245929</t>
  </si>
  <si>
    <t>306353</t>
  </si>
  <si>
    <t>208157</t>
  </si>
  <si>
    <t>208158</t>
  </si>
  <si>
    <t>245930</t>
  </si>
  <si>
    <t>306362</t>
  </si>
  <si>
    <t>472754</t>
  </si>
  <si>
    <t>484676</t>
  </si>
  <si>
    <t>550324</t>
  </si>
  <si>
    <t>208149</t>
  </si>
  <si>
    <t>310778</t>
  </si>
  <si>
    <t>310779</t>
  </si>
  <si>
    <t>221116</t>
  </si>
  <si>
    <t>310654</t>
  </si>
  <si>
    <t>312329</t>
  </si>
  <si>
    <t>534671</t>
  </si>
  <si>
    <t>534669</t>
  </si>
  <si>
    <t>534670</t>
  </si>
  <si>
    <t>305414</t>
  </si>
  <si>
    <t>311129</t>
  </si>
  <si>
    <t>311883</t>
  </si>
  <si>
    <t>259826</t>
  </si>
  <si>
    <t>247036</t>
  </si>
  <si>
    <t>247037</t>
  </si>
  <si>
    <t>247039</t>
  </si>
  <si>
    <t>208173</t>
  </si>
  <si>
    <t>208175</t>
  </si>
  <si>
    <t>421226</t>
  </si>
  <si>
    <t>488109</t>
  </si>
  <si>
    <t>488110</t>
  </si>
  <si>
    <t>399078</t>
  </si>
  <si>
    <t>304740</t>
  </si>
  <si>
    <t>305994</t>
  </si>
  <si>
    <t>421506</t>
  </si>
  <si>
    <t>376386</t>
  </si>
  <si>
    <t>376923</t>
  </si>
  <si>
    <t>376381</t>
  </si>
  <si>
    <t>308116</t>
  </si>
  <si>
    <t>363402</t>
  </si>
  <si>
    <t>376926</t>
  </si>
  <si>
    <t>376927</t>
  </si>
  <si>
    <t>376925</t>
  </si>
  <si>
    <t>553358</t>
  </si>
  <si>
    <t>553359</t>
  </si>
  <si>
    <t>488108</t>
  </si>
  <si>
    <t>488111</t>
  </si>
  <si>
    <t>502133</t>
  </si>
  <si>
    <t>502132</t>
  </si>
  <si>
    <t>505227</t>
  </si>
  <si>
    <t>487127</t>
  </si>
  <si>
    <t>488105</t>
  </si>
  <si>
    <t>488103</t>
  </si>
  <si>
    <t>488107</t>
  </si>
  <si>
    <t>488106</t>
  </si>
  <si>
    <t>549849</t>
  </si>
  <si>
    <t>416263</t>
  </si>
  <si>
    <t>465038</t>
  </si>
  <si>
    <t>259824</t>
  </si>
  <si>
    <t>208179</t>
  </si>
  <si>
    <t>208183</t>
  </si>
  <si>
    <t>208182</t>
  </si>
  <si>
    <t>305394</t>
  </si>
  <si>
    <t>312222</t>
  </si>
  <si>
    <t>312217</t>
  </si>
  <si>
    <t>376380</t>
  </si>
  <si>
    <t>376331</t>
  </si>
  <si>
    <t>259825</t>
  </si>
  <si>
    <t>247034</t>
  </si>
  <si>
    <t>247035</t>
  </si>
  <si>
    <t>529561</t>
  </si>
  <si>
    <t>555943</t>
  </si>
  <si>
    <t>553018</t>
  </si>
  <si>
    <t>551506</t>
  </si>
  <si>
    <t>553693</t>
  </si>
  <si>
    <t>367684</t>
  </si>
  <si>
    <t>365838</t>
  </si>
  <si>
    <t>365837</t>
  </si>
  <si>
    <t>513554</t>
  </si>
  <si>
    <t>394332</t>
  </si>
  <si>
    <t>216253</t>
  </si>
  <si>
    <t>216252</t>
  </si>
  <si>
    <t>499489</t>
  </si>
  <si>
    <t>504213</t>
  </si>
  <si>
    <t>516759</t>
  </si>
  <si>
    <t>510806</t>
  </si>
  <si>
    <t>308950</t>
  </si>
  <si>
    <t>416642</t>
  </si>
  <si>
    <t>416637</t>
  </si>
  <si>
    <t>416638</t>
  </si>
  <si>
    <t>416639</t>
  </si>
  <si>
    <t>416640</t>
  </si>
  <si>
    <t>551887</t>
  </si>
  <si>
    <t>552068</t>
  </si>
  <si>
    <t>305395</t>
  </si>
  <si>
    <t>416643</t>
  </si>
  <si>
    <t>376307</t>
  </si>
  <si>
    <t>208192</t>
  </si>
  <si>
    <t>208193</t>
  </si>
  <si>
    <t>208194</t>
  </si>
  <si>
    <t>306381</t>
  </si>
  <si>
    <t>308949</t>
  </si>
  <si>
    <t>313711</t>
  </si>
  <si>
    <t>492672</t>
  </si>
  <si>
    <t>399080</t>
  </si>
  <si>
    <t>461431</t>
  </si>
  <si>
    <t>478174</t>
  </si>
  <si>
    <t>368122</t>
  </si>
  <si>
    <t>469002</t>
  </si>
  <si>
    <t>310789</t>
  </si>
  <si>
    <t>310783</t>
  </si>
  <si>
    <t>376942</t>
  </si>
  <si>
    <t>310660</t>
  </si>
  <si>
    <t>310664</t>
  </si>
  <si>
    <t>310657</t>
  </si>
  <si>
    <t>310684</t>
  </si>
  <si>
    <t>310699</t>
  </si>
  <si>
    <t>310700</t>
  </si>
  <si>
    <t>308439</t>
  </si>
  <si>
    <t>308440</t>
  </si>
  <si>
    <t>553789</t>
  </si>
  <si>
    <t>553788</t>
  </si>
  <si>
    <t>310777</t>
  </si>
  <si>
    <t>484133</t>
  </si>
  <si>
    <t>208159</t>
  </si>
  <si>
    <t>208160</t>
  </si>
  <si>
    <t>245935</t>
  </si>
  <si>
    <t>306368</t>
  </si>
  <si>
    <t>385077</t>
  </si>
  <si>
    <t>245936</t>
  </si>
  <si>
    <t>306402</t>
  </si>
  <si>
    <t>385090</t>
  </si>
  <si>
    <t>385076</t>
  </si>
  <si>
    <t>245937</t>
  </si>
  <si>
    <t>306401</t>
  </si>
  <si>
    <t>385078</t>
  </si>
  <si>
    <t>550328</t>
  </si>
  <si>
    <t>550331</t>
  </si>
  <si>
    <t>208161</t>
  </si>
  <si>
    <t>208162</t>
  </si>
  <si>
    <t>245938</t>
  </si>
  <si>
    <t>306352</t>
  </si>
  <si>
    <t>385075</t>
  </si>
  <si>
    <t>245939</t>
  </si>
  <si>
    <t>306364</t>
  </si>
  <si>
    <t>385089</t>
  </si>
  <si>
    <t>385072</t>
  </si>
  <si>
    <t>245940</t>
  </si>
  <si>
    <t>306363</t>
  </si>
  <si>
    <t>385074</t>
  </si>
  <si>
    <t>221114</t>
  </si>
  <si>
    <t>385071</t>
  </si>
  <si>
    <t>308431</t>
  </si>
  <si>
    <t>310730</t>
  </si>
  <si>
    <t>528526</t>
  </si>
  <si>
    <t>208163</t>
  </si>
  <si>
    <t>208164</t>
  </si>
  <si>
    <t>245945</t>
  </si>
  <si>
    <t>306366</t>
  </si>
  <si>
    <t>385049</t>
  </si>
  <si>
    <t>245946</t>
  </si>
  <si>
    <t>306361</t>
  </si>
  <si>
    <t>385070</t>
  </si>
  <si>
    <t>385061</t>
  </si>
  <si>
    <t>385023</t>
  </si>
  <si>
    <t>245947</t>
  </si>
  <si>
    <t>306358</t>
  </si>
  <si>
    <t>385024</t>
  </si>
  <si>
    <t>512983</t>
  </si>
  <si>
    <t>385079</t>
  </si>
  <si>
    <t>385085</t>
  </si>
  <si>
    <t>385086</t>
  </si>
  <si>
    <t>548046</t>
  </si>
  <si>
    <t>365913</t>
  </si>
  <si>
    <t>555944</t>
  </si>
  <si>
    <t>484709</t>
  </si>
  <si>
    <t>553786</t>
  </si>
  <si>
    <t>310782</t>
  </si>
  <si>
    <t>305216</t>
  </si>
  <si>
    <t>208189</t>
  </si>
  <si>
    <t>228066</t>
  </si>
  <si>
    <t>414108</t>
  </si>
  <si>
    <t>475042</t>
  </si>
  <si>
    <t>526573</t>
  </si>
  <si>
    <t>529729</t>
  </si>
  <si>
    <t>383365</t>
  </si>
  <si>
    <t>221107</t>
  </si>
  <si>
    <t>248694</t>
  </si>
  <si>
    <t>208168</t>
  </si>
  <si>
    <t>208169</t>
  </si>
  <si>
    <t>208170</t>
  </si>
  <si>
    <t>208171</t>
  </si>
  <si>
    <t>372735</t>
  </si>
  <si>
    <t>365504</t>
  </si>
  <si>
    <t>367411</t>
  </si>
  <si>
    <t>465039</t>
  </si>
  <si>
    <t>462135</t>
  </si>
  <si>
    <t>383241</t>
  </si>
  <si>
    <t>478172</t>
  </si>
  <si>
    <t>316056</t>
  </si>
  <si>
    <t>521852</t>
  </si>
  <si>
    <t>523404</t>
  </si>
  <si>
    <t>316055</t>
  </si>
  <si>
    <t>507264</t>
  </si>
  <si>
    <t>546668</t>
  </si>
  <si>
    <t>výkon zvoleného vypínače</t>
  </si>
  <si>
    <t>rovná s přerušením:</t>
  </si>
  <si>
    <t>Pokud chcete jiný způsob zapojení, využijte níže pole pro poznámku a přiložte nákres k objednávce.</t>
  </si>
  <si>
    <t>Maximální výkon led pásku překračuje maximální spínaný výkon vypínače. Zvolete jiný vypínač, nebo slabší led pásek</t>
  </si>
  <si>
    <t>W pro 12V</t>
  </si>
  <si>
    <t>W pro 24V</t>
  </si>
  <si>
    <t>rovný, přerušený, napájení na kraji = 1-2 řezy, 3 pájení</t>
  </si>
  <si>
    <t>rovný, přerušený, napájení v přerušení = 1-2 řezy, 2 pájení</t>
  </si>
  <si>
    <t>rovný, bez přerušení, napájení na kraji = 0-1 řez, 1 pájení</t>
  </si>
  <si>
    <t>rohový bez přerušení, napájení na kraji = 2 řezy, 3 pájení</t>
  </si>
  <si>
    <t>rohový bez přerušení, napájení v rohu = 2 řezy, 2 pájení</t>
  </si>
  <si>
    <t>rohový s přerušením, napájení na kraji = 3 řezy, 5 pájení</t>
  </si>
  <si>
    <t>rohový s přerušením, napájení v přerušení = 3 řezy, 4 pájení</t>
  </si>
  <si>
    <t>rohový s přerušením, napájení v rohu = 3 řezy, 4 pájení</t>
  </si>
  <si>
    <t>Dodací kód:</t>
  </si>
  <si>
    <t>Klíčové slovo</t>
  </si>
  <si>
    <t>řez</t>
  </si>
  <si>
    <t>pájení</t>
  </si>
  <si>
    <t>Délka (mm):</t>
  </si>
  <si>
    <t>odpovídá délka profilu délce řezu?</t>
  </si>
  <si>
    <t>Název firmy:</t>
  </si>
  <si>
    <t>IČO:</t>
  </si>
  <si>
    <t>Kontaktní tel a email:</t>
  </si>
  <si>
    <t>když má být rozvaděč, tak 1x 285093, jinak 1x 342541</t>
  </si>
  <si>
    <t>1x 208204 + když má být rozvaděč, tak 1x 285093, jinak 1x 342541</t>
  </si>
  <si>
    <t>v profilu když je rovná sestava bez přerušení</t>
  </si>
  <si>
    <t>1x 208204 + 1x 342541</t>
  </si>
  <si>
    <t>napájení ve zdi</t>
  </si>
  <si>
    <t>v profilu 1 vypínač</t>
  </si>
  <si>
    <t>v profilu 2 vypínače</t>
  </si>
  <si>
    <t>kabelový 1 vypínač</t>
  </si>
  <si>
    <t>kabelové 2 vypínače</t>
  </si>
  <si>
    <t>dálkové</t>
  </si>
  <si>
    <t>342541, 543616</t>
  </si>
  <si>
    <t>243541, 543616</t>
  </si>
  <si>
    <t>285093, 543616</t>
  </si>
  <si>
    <t>upravit kde má být 2x 543616</t>
  </si>
  <si>
    <t>2x 543616, 1x 285093</t>
  </si>
  <si>
    <t>543616, 285110, 342541</t>
  </si>
  <si>
    <t>2x 543616, 285093</t>
  </si>
  <si>
    <t>2x 543616, 285110, 285093</t>
  </si>
  <si>
    <t>výše žluté nenabízet, pokud je sestava do L, nebo LED profil je bílé barvy, nebo je rovná sestava a délka jakékoliv části je delší, než 3000mm</t>
  </si>
  <si>
    <t>Umístění vypínače od přerušení:</t>
  </si>
  <si>
    <t>Sestava1!</t>
  </si>
  <si>
    <t>Počet vypínačů</t>
  </si>
  <si>
    <t>běžná situace</t>
  </si>
  <si>
    <t>při profilovém vypínači</t>
  </si>
  <si>
    <t>jen 1</t>
  </si>
  <si>
    <t>1 nebo 2</t>
  </si>
  <si>
    <t>jen 2</t>
  </si>
  <si>
    <t>umístění vypínače:</t>
  </si>
  <si>
    <t>počet vypínačů: 1</t>
  </si>
  <si>
    <t>počet vypínačů: 2</t>
  </si>
  <si>
    <t>počet jednotek: 1</t>
  </si>
  <si>
    <t>počet jednotek: 2</t>
  </si>
  <si>
    <t xml:space="preserve">Vyplňte prosím vaše kontaktní údaje a poté klikněte na požadované políčko níže. </t>
  </si>
  <si>
    <t>Uvedené ceny jsou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</si>
  <si>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</si>
  <si>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</si>
  <si>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 případě potřeby prosím konzultujte sestavu s oddělením technické podpory, tel. +420 724 474 382</t>
  </si>
  <si>
    <t>Běžný termín přípravy LED sestavy je 5-10 pracovních dnů.</t>
  </si>
  <si>
    <t>Adresa dodání:</t>
  </si>
  <si>
    <t>208204</t>
  </si>
  <si>
    <t>Poplatek za jedno pájení</t>
  </si>
  <si>
    <t>208203</t>
  </si>
  <si>
    <t>Poplatek za přípravu sestavy LED pásků</t>
  </si>
  <si>
    <t>391584</t>
  </si>
  <si>
    <t>Poplatek za jedno řezání</t>
  </si>
  <si>
    <t>Poplatok za jedno rezanie</t>
  </si>
  <si>
    <t>Na poplatky za přípravu LED sestavy nelze aplikovat žádné slevy.</t>
  </si>
  <si>
    <t>Poznámka</t>
  </si>
  <si>
    <t>YUS-vypínač dveřní mech. 230V, 2A bílý</t>
  </si>
  <si>
    <t>YUS-vypínač dveřní mech. 230V, 2A černý</t>
  </si>
  <si>
    <t>StrongLumio koncovky k liště Corner 10 gen2 šedá (pár)</t>
  </si>
  <si>
    <t>StrongLumio koncovky k liště Groove 10 gen2 kulatá šedá (pár)</t>
  </si>
  <si>
    <t>StrongLumio koncovky k liště Surface 10 šedá (pár)</t>
  </si>
  <si>
    <t>StrongLumio koncovky k liště Surface 10 gen2 šedá (pár)</t>
  </si>
  <si>
    <t>TM-koncovky k LED liště Wide (pár)</t>
  </si>
  <si>
    <t>TM-krycí lišta k LED prof.mléčná 1000mm</t>
  </si>
  <si>
    <t>TM-krycí lišta k LED prof.mléčná 2000mm</t>
  </si>
  <si>
    <t>TM-krycí lišta k LED prof.průsv. 1000mm</t>
  </si>
  <si>
    <t>TM-krycí lišta k LED prof.průsv. 2000mm</t>
  </si>
  <si>
    <t>TM-krycí lišta k prof.Wide mléčná 1000mm</t>
  </si>
  <si>
    <t>TM-krycí lišta k prof.Wide mléčná 2000mm</t>
  </si>
  <si>
    <t>TM-krycí lišta k prof.Wide průsv. 1000mm</t>
  </si>
  <si>
    <t>TM-krycí lišta k prof.Wide průsv. 2000mm</t>
  </si>
  <si>
    <t>TM-krycí lišta k LED profilům naklapávací průsvitná 1000mm</t>
  </si>
  <si>
    <t>TM-kr.liš.naklap.k LED prof.trans.2000mm</t>
  </si>
  <si>
    <t>TM-profil LED Corner alu anod. 1000mm</t>
  </si>
  <si>
    <t>TM-profil LED Corner alu anod. 2000mm</t>
  </si>
  <si>
    <t>TM-profil LED Groove alu anod. 1000mm</t>
  </si>
  <si>
    <t>TM-profil LED Groove alu anod. 2000mm</t>
  </si>
  <si>
    <t>TM-profil LED Surface alu anod. 1000mm</t>
  </si>
  <si>
    <t>TM-profil LED Surface alu anod. 2000mm</t>
  </si>
  <si>
    <t>TM-profil LED Wide surový 1000mm</t>
  </si>
  <si>
    <t>TM-profil LED Wide surový 2000mm</t>
  </si>
  <si>
    <t>SAL-vypínač kolébk. R13, 230V,4A, bílý</t>
  </si>
  <si>
    <t>SAL-vypínač kolébk. R13, 230V, 4A, černý</t>
  </si>
  <si>
    <t>SAL-vypínač kolébk. R13, 230V, 4A, hnědý</t>
  </si>
  <si>
    <t>SAL-vypínač kolébk. R13, 230V, 4A, šedý</t>
  </si>
  <si>
    <t>YUS-LED pásek 14,4W/m 12V bílá stud.IP65</t>
  </si>
  <si>
    <t>YUS-LED pásek 14,4W/m 12V bílá studená</t>
  </si>
  <si>
    <t>YUS-LED pásek 14,4W/m 12V bílá tep.IP65</t>
  </si>
  <si>
    <t>YUS-LED pásek 14,4W/m 12V bílá teplá</t>
  </si>
  <si>
    <t>YUS-LED pásek 4,8W/m 12V bílá st. IP65</t>
  </si>
  <si>
    <t>YUS-LED pásek 4,8W/m 12V bílá studená</t>
  </si>
  <si>
    <t>YUS-LED pásek 4,8W/m 12V bílá tep. IP65</t>
  </si>
  <si>
    <t>YUS-LED pásek 4,8W/m 12V bílá teplá</t>
  </si>
  <si>
    <t>YUS-přip.kabel s kul.konektor.pro LED 2m</t>
  </si>
  <si>
    <t>STRONG transformátor pro LED 12V 18W</t>
  </si>
  <si>
    <t>STRONG transformátor pro LED 12V 30W</t>
  </si>
  <si>
    <t>STRONG transformátor pro LED 12V 48W</t>
  </si>
  <si>
    <t>YUS-transform. pro LED 12V 6W do zásuvky</t>
  </si>
  <si>
    <t>STRONG transformátor pro LED 12V 80W</t>
  </si>
  <si>
    <t>LED vyp./stmí.do lišty 12V,  žlutá LED</t>
  </si>
  <si>
    <t>LED vyp./stmí.do lišty 12V,  modrá LED</t>
  </si>
  <si>
    <t>TM-profil LED Flat alu anod.1000mm</t>
  </si>
  <si>
    <t>TM-profil LED Flat alu anod.2000mm</t>
  </si>
  <si>
    <t>TM-koncovky k LED liště Flat (pár)</t>
  </si>
  <si>
    <t>TM-krycí lišta k prof.Flat mléčná 1000mm</t>
  </si>
  <si>
    <t>TM-krycí lišta k prof.Flat mléčná 2000mm</t>
  </si>
  <si>
    <t>TM-krycí lišta k prof.Flat transp.1000mm</t>
  </si>
  <si>
    <t>TM-krycí lišta k prof.Flat transp.2000mm</t>
  </si>
  <si>
    <t>TM-úchyty pružinové pro LED prof. (pár)</t>
  </si>
  <si>
    <t>TM-profil LED Slim alu anod. 1000mm</t>
  </si>
  <si>
    <t>TM-profil LED Slim alu anod. 2000mm</t>
  </si>
  <si>
    <t>TM-krycí lišta k prof.Slim mléčná 1000mm</t>
  </si>
  <si>
    <t>TM-krycí lišta k prof.Slim mléčná 2000mm</t>
  </si>
  <si>
    <t>TM-krycí lišta k prof.Slim průsv. 1000mm</t>
  </si>
  <si>
    <t>TM-krycí lišta k prof.Slim průsv. 2000mm</t>
  </si>
  <si>
    <t>TM-krycí lišta k prof.Slim transp.1000mm</t>
  </si>
  <si>
    <t>TM-krycí lišta k prof.Slim transp.2000mm</t>
  </si>
  <si>
    <t>TM-koncovka k profilu Slim  (pár)</t>
  </si>
  <si>
    <t>TM-kr.liš.naklap.k LED prof.mléč.1000mm</t>
  </si>
  <si>
    <t>TM-kr.liš.naklap.k LED prof.mléč.2000mm</t>
  </si>
  <si>
    <t>TM-profil LED Wide alu elox 1000mm</t>
  </si>
  <si>
    <t>TM-profil LED Wide alu elox 2000mm</t>
  </si>
  <si>
    <t>YUS-RF dálkový vypínač/stmívač 12V</t>
  </si>
  <si>
    <t>StrongLumio koncovky k liště Corner 10 gen2 černá (pár)</t>
  </si>
  <si>
    <t>StrongLumio koncovky k liště Groove 10 gen2 kulatá černá (pár)</t>
  </si>
  <si>
    <t>StrongLumio koncovky k liště Surface 10 gen2 černá (pár)</t>
  </si>
  <si>
    <t>TM-kr.liš.naklap.k LED prof.mléč.3000mm</t>
  </si>
  <si>
    <t>TM-kr.liš.naklap.k LED prof.průsv.3000mm</t>
  </si>
  <si>
    <t>TM-krycí lišta k LED prof.půlkul. 2000mm</t>
  </si>
  <si>
    <t>TM-krycí lišta k prof. Pen průsv. 1000mm</t>
  </si>
  <si>
    <t>TM-krycí lišta k prof. Pen průsv. 2000mm</t>
  </si>
  <si>
    <t>TM-profil LED Corner alu anod. 3000mm</t>
  </si>
  <si>
    <t>TM-profil LED Corner alu bílý 2000mm</t>
  </si>
  <si>
    <t>TM-profil LED Corner alu černý 2000mm</t>
  </si>
  <si>
    <t>TM-profil LED Groove alu anod. 3000mm</t>
  </si>
  <si>
    <t>TM-profil LED Groove alu bílý 2000mm</t>
  </si>
  <si>
    <t>TM-profil LED Groove alu černý 2000mm</t>
  </si>
  <si>
    <t>TM-profil LED Pen alu anod. 1000mm</t>
  </si>
  <si>
    <t>TM-profil LED Pen alu anod. 2000mm</t>
  </si>
  <si>
    <t>TM-profil LED Surface alu anod. 3000mm</t>
  </si>
  <si>
    <t>TM-profil LED Surface alu bílý 2000mm</t>
  </si>
  <si>
    <t>TM-profil LED Surface alu černý 2000mm</t>
  </si>
  <si>
    <t>TM-úchyt profilu Pen + koncovka  (pár)</t>
  </si>
  <si>
    <t>TM-úchyty pružinové pro prof.Slim (pár)</t>
  </si>
  <si>
    <t>YUS-LED pásek 9,6W/m 12V bílá studená</t>
  </si>
  <si>
    <t>YUS-LED pásek 9,6W/m 12V bílá teplá</t>
  </si>
  <si>
    <t>YUS-LED pásek 12W/m 12V bílá studená</t>
  </si>
  <si>
    <t>YUS-LED pásek 12W/m 12V bílá teplá</t>
  </si>
  <si>
    <t>YUS-LED pásek 12W/m 12V bílá st. IP65</t>
  </si>
  <si>
    <t>YUS-LED pásek 12W/m 12V bílá tep. IP65</t>
  </si>
  <si>
    <t>TM mechanický vypínač do alu lišty 12/24V max. 60/100W</t>
  </si>
  <si>
    <t>YUS-LED pásek 4,8W/m 12V bílá neutrální</t>
  </si>
  <si>
    <t>YUS-LED pásek 9,6W/m 12V bílá neutrální</t>
  </si>
  <si>
    <t>YUS-LED pásek 12W/m 12V bílá neutrální</t>
  </si>
  <si>
    <t>STR-LED pásek 14,4W/m 24V bílá neutrální</t>
  </si>
  <si>
    <t>STR-transformátor pre LED 24V 30W</t>
  </si>
  <si>
    <t>STR-LED pásek 14,4W/m 24V bílá studená</t>
  </si>
  <si>
    <t>STR-transformátor pre LED 24V 60W</t>
  </si>
  <si>
    <t>YUS-přip.kabel s kul.konek.pro LED 0,15m</t>
  </si>
  <si>
    <t>STR-transformátor pro LED 24V 18W</t>
  </si>
  <si>
    <t>STR-LED pásek 6W/m 24V bílá neutrální</t>
  </si>
  <si>
    <t>STR-transformátor plochý pro LED 24V 60W</t>
  </si>
  <si>
    <t>STR-LED pásek 12W/m (120) 24V bílá neut.</t>
  </si>
  <si>
    <t>STR-LED pásek 14,4W/m 24V bílá teplá</t>
  </si>
  <si>
    <t>TM-profil LED Groove alu anod. 4000mm</t>
  </si>
  <si>
    <t>TM-kr.liš.naklap.k LED prof.mléč. 4000mm</t>
  </si>
  <si>
    <t>TM-profil LED Surface alu černý 3000mm</t>
  </si>
  <si>
    <t>TM-profil LED Surface alu bílý 3000mm</t>
  </si>
  <si>
    <t>TM-kr.liš.naklap.k LED prof.průsv.4000mm</t>
  </si>
  <si>
    <t>TM-profil LED Groove alu černý 3000mm</t>
  </si>
  <si>
    <t>TM-profil LED Groove alu bílý 3000mm</t>
  </si>
  <si>
    <t>StrongLumio koncovky k liště Groove 10 gen2 kulatá bílá (pár)</t>
  </si>
  <si>
    <t>TM-profil LED Surface alu anod. 4000mm</t>
  </si>
  <si>
    <t>StrongLumio koncovky k liště Surface 10 gen2 bílá (pár)</t>
  </si>
  <si>
    <t>TM-profil LED Corner alu anod. 4000mm</t>
  </si>
  <si>
    <t>SAL-BEZDOTYKOVÝ SPÍNAČ IR-2</t>
  </si>
  <si>
    <t>STR-transformátor plochý pro LED 24V 40W</t>
  </si>
  <si>
    <t>STR-transformátor pro LED 24V 120W</t>
  </si>
  <si>
    <t>TM-profil LED Corner alu černý 3000mm</t>
  </si>
  <si>
    <t>TM-profil LED Corner alu bílý 3000mm</t>
  </si>
  <si>
    <t>StrongLumio koncovky k liště Corner 10 gen2 bílá (pár)</t>
  </si>
  <si>
    <t>STR-LED pásek 14,4W/m 24V RGB IP20</t>
  </si>
  <si>
    <t>TM-profil LED Smart alu anod. 2000mm</t>
  </si>
  <si>
    <t>TM-profil LED Smart alu anod. 3000mm</t>
  </si>
  <si>
    <t>TM-koncovky k liště Smart šedá (pár)</t>
  </si>
  <si>
    <t>TM-profil LED BEGTON alu elox 2000mm</t>
  </si>
  <si>
    <t>TM-profil LED BEGTON alu elox 3000mm</t>
  </si>
  <si>
    <t>TM-krycí lišta Begtin/Begton mléč.2000mm</t>
  </si>
  <si>
    <t>TM-koncovky k liště BEGTON šedé (pár)</t>
  </si>
  <si>
    <t>STR-transformátor pro LED 24V 80W</t>
  </si>
  <si>
    <t>STR-transformátor plochý LED 24V 100W</t>
  </si>
  <si>
    <t>TM-profil LED Uni12 alu anod. 1000mm</t>
  </si>
  <si>
    <t>TM-profil LED Uni12 alu anod. 2000mm</t>
  </si>
  <si>
    <t>TM-koncovky k liště Uni šedá (pár)</t>
  </si>
  <si>
    <t>TM-koncovky k liště Uni šedá kulatá(pár)</t>
  </si>
  <si>
    <t>TM-krycí lišta půlkul. Uni mléčná 1000mm</t>
  </si>
  <si>
    <t>TM-krycí lišta půlkul. Uni mléčná 2000mm</t>
  </si>
  <si>
    <t>TM-profil LED Slim alu elox 3000mm</t>
  </si>
  <si>
    <t>TM-krycí lišta k Smart/Slim průsv. 3m</t>
  </si>
  <si>
    <t>TM-profil LED BEGTIN alu elox 2000mm</t>
  </si>
  <si>
    <t>TM-profil LED BEGTIN alu bílá 2000mm</t>
  </si>
  <si>
    <t>TM-profil LED BEGTIN alu černá 2000mm</t>
  </si>
  <si>
    <t>TM-profil LED BEGTIN alu elox 3000mm</t>
  </si>
  <si>
    <t>TM-koncovky k liště BEGTIN šedé (pár)</t>
  </si>
  <si>
    <t>TM-koncovky k liště BEGTIN bílá (pár)</t>
  </si>
  <si>
    <t>TM-koncovky k liště BEGTIN černá (pár)</t>
  </si>
  <si>
    <t>TM-koncovky k liště BEGTON bílá (pár)</t>
  </si>
  <si>
    <t>TM-koncovky k liště BEGTON černá (pár)</t>
  </si>
  <si>
    <t>TM-profil LED BEGTON alu bílá 2000mm</t>
  </si>
  <si>
    <t>TM-profil LED BEGTON alu černá 2000mm</t>
  </si>
  <si>
    <t>TM-profil LED Smart alu bílá 2000mm</t>
  </si>
  <si>
    <t>TM-profil LED Smart alu černá 2000mm</t>
  </si>
  <si>
    <t>TM-krycí lišta Begtin/Begton průsv. 2000</t>
  </si>
  <si>
    <t>TM-krycí lišta Begtin/Begton průsv. 3000</t>
  </si>
  <si>
    <t>TM-koncovky k liště Smart bílá (pár)</t>
  </si>
  <si>
    <t>TM-koncovky k liště Smart černá (pár)</t>
  </si>
  <si>
    <t>TM-úchyty pružin.Smart/Slim bílá (pár)</t>
  </si>
  <si>
    <t>TM-úchyty pružin.Smart/Slim černá (pár)</t>
  </si>
  <si>
    <t>TM-profil LED Floor alu anod.2000mm</t>
  </si>
  <si>
    <t>TM-kryc.lišta k prof.Floor mléčná 2000mm</t>
  </si>
  <si>
    <t>TM-koncovky k prof.Floor (pár)</t>
  </si>
  <si>
    <t>TM-koncovky k liště Cabi šedá (pár)</t>
  </si>
  <si>
    <t>TM-profil LED Cabi12 E alu anodovaný 2000mm</t>
  </si>
  <si>
    <t>TM-krycí lišta k prof.Cabi mléčná 2000mm</t>
  </si>
  <si>
    <t>TM-krycí lišta k prof.Cabi průsv.2000mm</t>
  </si>
  <si>
    <t>TM-rozváděč LED 6x MINI konektor 0,25m</t>
  </si>
  <si>
    <t>TM-prodlužovací kabel 1,8m MINI konektor</t>
  </si>
  <si>
    <t>STR-Power dálk.ovládač/stmívač 1x25A</t>
  </si>
  <si>
    <t>STR-LED pásek 12W/m (120) 24V bílá stud.</t>
  </si>
  <si>
    <t>STR-LED pásek 12W/m (120) 24V bílá teplá</t>
  </si>
  <si>
    <t>STR-LED pásek 6W/m 24V bílá teplá</t>
  </si>
  <si>
    <t>STR-LED pásek 6W/m 24V bílá studená</t>
  </si>
  <si>
    <t>STR-LED pásek 14,4W/m 24V RGB IP65</t>
  </si>
  <si>
    <t>LED multivypínač 12/24V, žlutá LED</t>
  </si>
  <si>
    <t>LED multivypínač 12/24V, modrá LED</t>
  </si>
  <si>
    <t>LED mechan. vypínač 12/24V do profilů</t>
  </si>
  <si>
    <t>STRONG plus LED pásek 6W/m 24V CC CRI90 bílá teplá 120 LED/m</t>
  </si>
  <si>
    <t>STRONG plus LED pásek 6W/m 24V CC CRI90 bílá neutrální 120 LED/m</t>
  </si>
  <si>
    <t>STRONG plus LED pásek 6W/m 24V CC CRI90 bílá studená 120 LED/m</t>
  </si>
  <si>
    <t>STRONG plus LED pásek 14,4W/m 24V CRI90 bílá teplá 120 LED/m</t>
  </si>
  <si>
    <t>STRONG plus LED pásek 14,4W/m 24V CRI90 bílá neutrální 120 LED/m</t>
  </si>
  <si>
    <t>STRONG plus LED pásek 14,4W/m 24V CRI90 bílá studená 120 LED/m</t>
  </si>
  <si>
    <t>STRONG plus LED pásek 21,6W/m 24V CRI90 bílá teplá 210 LED/m</t>
  </si>
  <si>
    <t>STRONG plus LED pásek 21,6W/m 24V CRI90 bílá neutrální 210 LED/m</t>
  </si>
  <si>
    <t>STRONG plus LED pásek 21,6W/m 24V CRI90 bílá studená 210 LED/m</t>
  </si>
  <si>
    <t>STRONG pohybový senzor do profilu 12-24V, 8A</t>
  </si>
  <si>
    <t>StrongLumio LED pásek 24V COB 8W/m (320 LED/m) 5mm, bílá neutrální</t>
  </si>
  <si>
    <t>TL-WAGO svorka 3x2,5</t>
  </si>
  <si>
    <t>306006</t>
  </si>
  <si>
    <t>316011</t>
  </si>
  <si>
    <t>316012</t>
  </si>
  <si>
    <t>TM-profil LED Slim alu bílá 2000mm</t>
  </si>
  <si>
    <t>336097</t>
  </si>
  <si>
    <t>TM-koncovky k liště Slim bílá (pár)</t>
  </si>
  <si>
    <t>V-Strong pohybový vypínač PIR 12-24V,4A, MINI</t>
  </si>
  <si>
    <t>Strong pohybový vypínač PIR 12-24V,4A, MINI</t>
  </si>
  <si>
    <t>343089</t>
  </si>
  <si>
    <t>V-TM-profil Arc12  2000mm (surový ALU)</t>
  </si>
  <si>
    <t>Dvojlinka 2x0,5mm2 20AWG červeno-černá</t>
  </si>
  <si>
    <t>STR-dveřní senzor ALU,12/24V,48/96W,4A,konektory Mini</t>
  </si>
  <si>
    <t>STR-LED pásek 21,6W/m 24V bílá neutrální 210 LED/m</t>
  </si>
  <si>
    <t>STR-dotykový senzor do profilu, 12-24V, 8A</t>
  </si>
  <si>
    <t>STR-vypínač/stmívač 12-24V,4A,bílý,konentory mini</t>
  </si>
  <si>
    <t>STR-LED rohový spoj pájecí 8mm</t>
  </si>
  <si>
    <t>STR-LED rohový spoj pájecí 10mm</t>
  </si>
  <si>
    <t>STR-prop.kabel kul.kon(Jack)-MINI (fem)</t>
  </si>
  <si>
    <t>STR-vypínač/stmívač 12-24V,4A,černý,konektory Mini</t>
  </si>
  <si>
    <t>SAL-rozváděč LED 6x MINI - konektor MINI 0,25m</t>
  </si>
  <si>
    <t>STR-LED profil Belcore 2m stříbrný elox</t>
  </si>
  <si>
    <t>STR-krytka kulatá Belcore  2m mléčná</t>
  </si>
  <si>
    <t>367685</t>
  </si>
  <si>
    <t>STR-koncovka kulatá pro LED profil Belcore</t>
  </si>
  <si>
    <t>367686</t>
  </si>
  <si>
    <t>STR-spona pro LED profil Belcore</t>
  </si>
  <si>
    <t>367687</t>
  </si>
  <si>
    <t>TM-profil LUCERA  narážecí alu anodovaný 2000mm</t>
  </si>
  <si>
    <t>367793</t>
  </si>
  <si>
    <t>Strong LED profil Ormio 2m stříbrný elox</t>
  </si>
  <si>
    <t>368101</t>
  </si>
  <si>
    <t>Strong krytka pro LED profil Ormio 2m mléčná</t>
  </si>
  <si>
    <t>368103</t>
  </si>
  <si>
    <t>Strong koncovka pro LED profil Ormio</t>
  </si>
  <si>
    <t>Strong krytka hranatá Belcore  2m mléčná</t>
  </si>
  <si>
    <t>368106</t>
  </si>
  <si>
    <t>Strong koncovka hranatá pro LED profil Belcore</t>
  </si>
  <si>
    <t>368107</t>
  </si>
  <si>
    <t>Strong LED profil Fanto 2m stříbrný elox</t>
  </si>
  <si>
    <t>368108</t>
  </si>
  <si>
    <t>Strong krytka pro LED profil Fanto 2m mléčná</t>
  </si>
  <si>
    <t>368109</t>
  </si>
  <si>
    <t>Strong koncovka pro LED profil Fanto</t>
  </si>
  <si>
    <t>368111</t>
  </si>
  <si>
    <t>Strong spona pro LED profil Fanto</t>
  </si>
  <si>
    <t>368112</t>
  </si>
  <si>
    <t>Strong dveřní/bezdotykový senzor plast,12-24V,4A,konektory Mini</t>
  </si>
  <si>
    <t>368145</t>
  </si>
  <si>
    <t>Strong vypínač/dveřní senzor pro max. 3 čidla,12-24V,8A</t>
  </si>
  <si>
    <t>Strong čidlo pro vypínač/dveřní senzor,černý</t>
  </si>
  <si>
    <t>Strong čidlo pro vypínač/dveřní senzor,bílý</t>
  </si>
  <si>
    <t>Strong transformátor pro LED 12V 120W</t>
  </si>
  <si>
    <t>STRONG kabel propojovací 1m LED 10mm zacvakávací Mini</t>
  </si>
  <si>
    <t>376308</t>
  </si>
  <si>
    <t>STRONG plus transformátor pro LED 24V 36W Jack/6xMINI</t>
  </si>
  <si>
    <t>376314</t>
  </si>
  <si>
    <t>STRONG plus transformátor pro LED 24V 60W Jack/6xMINI</t>
  </si>
  <si>
    <t>376316</t>
  </si>
  <si>
    <t>STRONG plus transformátor pro LED 24V 150W Jack/6xMINI</t>
  </si>
  <si>
    <t>376317</t>
  </si>
  <si>
    <t>STRONG plus transformátor pro LED 24V 100W Jack/6xMINI</t>
  </si>
  <si>
    <t>376318</t>
  </si>
  <si>
    <t>STRONG prodlužovací kabel 2m pro dveřní senzor 342519 a 342520</t>
  </si>
  <si>
    <t>STRONG dveřní senzor plast,12-24V,4A,konektory Mini</t>
  </si>
  <si>
    <t>STRONG bezdotykový vypínač plast,12-24V,4A,konektory Mini</t>
  </si>
  <si>
    <t>TL-LED pásek CCT CCT18W12V</t>
  </si>
  <si>
    <t>383362</t>
  </si>
  <si>
    <t>TL-trojlinka kabel CCT plochý 3x0,35</t>
  </si>
  <si>
    <t>TM-profil LED Surface alu černý 4000mm</t>
  </si>
  <si>
    <t>TM-profil LED Groove alu černý 4000mm</t>
  </si>
  <si>
    <t>StrongLumio profil LED Groove 10 alu bílý 4000mm</t>
  </si>
  <si>
    <t>StrongLumio profil LED Corner 10 alu bílý 4000mm</t>
  </si>
  <si>
    <t>LED vypínač/stmívač do lišty 12/24V bez LED kontrolky</t>
  </si>
  <si>
    <t>STRONG LED pásek 14,4W/m 24V 12mm RGB+WW teplá bílá IP20</t>
  </si>
  <si>
    <t>TL-plochý RGBW kabel</t>
  </si>
  <si>
    <t>STRONG krytka pro LED profil Ormio 2m průsvitná</t>
  </si>
  <si>
    <t>407454</t>
  </si>
  <si>
    <t>STRONG dálkový ovládač RF univerzální 4 v 1</t>
  </si>
  <si>
    <t>STRONG řídící jednotka RF univerzální 4 v 1</t>
  </si>
  <si>
    <t>STRONG LED pásek 26W/m 24V bílá studená 304 LED/m</t>
  </si>
  <si>
    <t>STRONG transformátor plochý pro LED 12V 15W</t>
  </si>
  <si>
    <t>STRONG transformátor plochý pro LED 12V 30W</t>
  </si>
  <si>
    <t>STRONG transformátor plochý pro LED 12V 60W</t>
  </si>
  <si>
    <t>STRONG transformátor plochý pro LED 12V 75W</t>
  </si>
  <si>
    <t>STRONG transformátor plochý pro LED 12V 100W</t>
  </si>
  <si>
    <t>STRONG transformátor plochý pro LED 24V 75W</t>
  </si>
  <si>
    <t>StrongLumio dálkový ovládač 4zónový</t>
  </si>
  <si>
    <t>417970</t>
  </si>
  <si>
    <t>STRONG LED pásek 14,4W/m 24V RGB IP20 120 LED/m</t>
  </si>
  <si>
    <t>STRONG bezdotykový senzor do profilu CCT 12-24V 8A</t>
  </si>
  <si>
    <t>STRONG LED pásek 14,4W/m 24V CCT 60 LED/m</t>
  </si>
  <si>
    <t>StrongLumio řídící jednotka CCT/RGB/RGBW</t>
  </si>
  <si>
    <t>456336</t>
  </si>
  <si>
    <t>STRONG LED pásek 26W/m 24V bílá neutrální 304 LED/m</t>
  </si>
  <si>
    <t>457541</t>
  </si>
  <si>
    <t>STRONG podpovrchový vypínač/stmívač 12-24V 4A stříbrný konektory Mini</t>
  </si>
  <si>
    <t>TM-krycí lišta k LED profilům naklapávací černá 2000mm</t>
  </si>
  <si>
    <t>TM-krycí lišta k LED profilům naklapávací černá 3000mm</t>
  </si>
  <si>
    <t>TM-krycí lišta k LED profilům naklapávací černá 4000mm</t>
  </si>
  <si>
    <t>STRONG LED pásek 26W/m 24V bílá teplá 304 LED/m</t>
  </si>
  <si>
    <t>STRONG vypínač/stmívač 12-24V 4A stříbrný konektory Mini</t>
  </si>
  <si>
    <t>Dvojlinka 2x0,5mm 2 20AWG bílo-červená</t>
  </si>
  <si>
    <t>STRONG plus transformátor pro LED 24V 75W Jack/6xMINI</t>
  </si>
  <si>
    <t>467059</t>
  </si>
  <si>
    <t>STRONG pohybový vypínač PIR k zafrézování 12-24V 4A Mini</t>
  </si>
  <si>
    <t>STRONG LED profil Arbona 2m stříbrný elox</t>
  </si>
  <si>
    <t>472224</t>
  </si>
  <si>
    <t>STRONG krytka pro LED profil Arbona 2m mléčná</t>
  </si>
  <si>
    <t>472225</t>
  </si>
  <si>
    <t>STRONG koncovka pro LED profil Arbona</t>
  </si>
  <si>
    <t>TM-krycí lišta k profilu Slim/Smart10/Smart-In10 naklapávací mléčná 2000mm</t>
  </si>
  <si>
    <t>STRONG řídící jednotka WiFi univerzální 5 v 1 - Smart</t>
  </si>
  <si>
    <t>STRONG dálkový ovládač RF univerzální 2 v 1</t>
  </si>
  <si>
    <t>TM-profil LED Cabi12 E alu černý 3000mm</t>
  </si>
  <si>
    <t>TM-koncovky k liště Cabi černá (pár)</t>
  </si>
  <si>
    <t>TM-krycí lišta k profilu Cabi naklapávací/výsuvná průsvitná 3000mm</t>
  </si>
  <si>
    <t>STRONG bezdrátový vypínač samonapájecí - zlatá, 2 tlačítka</t>
  </si>
  <si>
    <t>STRONG přijímač pro bezdrátové samonapájecí vypínače 12/24V</t>
  </si>
  <si>
    <t>STRONG Lumio LED pásek 24V COB 14W/m (512 LED/m) studená bílá</t>
  </si>
  <si>
    <t>STRONG bezdrátový vypínač samonapájecí - bílá, 1 tlačítko</t>
  </si>
  <si>
    <t>STRONG Lumio LED pásek 24V COB 14W/m (512 LED/m) neutrální bílá</t>
  </si>
  <si>
    <t>STRONG Lumio LED pásek 24V COB 14W/m (512 LED/m) teplá bílá</t>
  </si>
  <si>
    <t>STRONG Lumio LED pásek 24V COB 22W/m (608 LED/m) CCT</t>
  </si>
  <si>
    <t>STRONG Lumio LED pásek 24V COB 15W/m (840 LED/m) RGB</t>
  </si>
  <si>
    <t>STRONG Lumio LED pásek 24V 5v1 14,4W/m (60 LED/m) RGBCCT</t>
  </si>
  <si>
    <t>STRONG Lumio LED pásek 14,4W/m 24V (60 LED/m) RGBW neutrální bílá</t>
  </si>
  <si>
    <t>STRONG Lumio LED pásek 14,4W/m 24V (60 LED/m) RGBW studená bílá</t>
  </si>
  <si>
    <t>STRONG Lumio LED pásek 24V 5v1 28,8W/m (96 LED/m) RGBCCT</t>
  </si>
  <si>
    <t>STRONG Lumio bezdrátový vypínač samonapájecí - stříbrná, 1 tlačítko</t>
  </si>
  <si>
    <t>STRONG Lumio dálkový ovládač otočný DIM/CCT/RGB/RGBW/RGBCCT - 1 zóna</t>
  </si>
  <si>
    <t>TL-plochý RGBCCT kabel (šestilinka)</t>
  </si>
  <si>
    <t>StrongLumio krycí lišta C k LED profilům naklapávací mléčná 20m</t>
  </si>
  <si>
    <t>494242</t>
  </si>
  <si>
    <t>404412 - 1 ks = 494242 - 20m</t>
  </si>
  <si>
    <t>StrongLumio LED mechanický vypínač 12/24V do profilů 90W/180W 1 hmatník</t>
  </si>
  <si>
    <t>494696</t>
  </si>
  <si>
    <t>Transformátor MEAN WELL XLG-200-12-A, 12V, 200W, IP67</t>
  </si>
  <si>
    <t>StrongLumio lepící páska oboustranná 12mm pro LED profily super silná 5m</t>
  </si>
  <si>
    <t>StrongLumio bezdrátový vypínač samonapájecí - stříbrná, 2 tlačítka</t>
  </si>
  <si>
    <t>StrongLumio LED pásek 24V COB 12W/m (480 LED/m) - 8mm - teplá bílá</t>
  </si>
  <si>
    <t>StrongLumio LED pásek 24V COB 12W/m (480 LED/m) - 8mm - studená bílá</t>
  </si>
  <si>
    <t>StrongLumio lepící páska oboustranná 12mm pro LED profily super silná 25m</t>
  </si>
  <si>
    <t>StrongLumio dveřní senzor alu 12/24V 48/96W 4A bílý konektory Mini</t>
  </si>
  <si>
    <t>StrongLumio dveřní senzor alu 12/24V 48/96W 4A černý konektory Mini</t>
  </si>
  <si>
    <t>StrongLumio LED pásek 24V COB 12W/m (480 LED/m) - 8mm - neutrální bílá</t>
  </si>
  <si>
    <t>StrongLumio Transformátor 24V - 36W (6x mini konektor + 1x 3PIN sensor)</t>
  </si>
  <si>
    <t>StrongLumio Transformátor 24V - 80W (8x mini konektor + 1x 3PIN sensor)</t>
  </si>
  <si>
    <t>510807</t>
  </si>
  <si>
    <t>StrongLumio napájecí DC zdířka 2,1mm se svorkovnicí</t>
  </si>
  <si>
    <t>StrongLumio bezdrátový vypínač samonapájecí - černá, 1 tlačítko</t>
  </si>
  <si>
    <t>StrongLumio LED pásek 9,6W/m 24V (120 LED) bílá teplá neon IP67</t>
  </si>
  <si>
    <t>526572</t>
  </si>
  <si>
    <t>StrongLumio silikonový ohebný profil 8x16mm pro LED pásky do 10W/m 10mm</t>
  </si>
  <si>
    <t>StrongLumio koncovky k liště Groove 10 rovná šedá (pár)</t>
  </si>
  <si>
    <t>StrongLumio LED pásek 12V COB - 10W/m (480 LED/m) - 8mm - teplá bílá</t>
  </si>
  <si>
    <t>StrongLumio LED pásek 12V COB - 10W/m (480 LED/m) - 8mm - neutrální bílá</t>
  </si>
  <si>
    <t>StrongLumio LED pásek 12V COB - 10W/m (480 LED/m) - 8mm - studená bílá</t>
  </si>
  <si>
    <t>V-StrongLumio přijímač/rozvaděč pro bezdrátové samo. vypínače 12/24V (535062)</t>
  </si>
  <si>
    <t>556577</t>
  </si>
  <si>
    <t>V-StrongLumio krycí lišta k profilu Slim 8/Smart 10 naklap.3000mm mléčná(424699)</t>
  </si>
  <si>
    <t>557473</t>
  </si>
  <si>
    <t>V-StrongLumio bezdrátový samonapájecí dveřní vypínač bílý (535063)</t>
  </si>
  <si>
    <t>557475</t>
  </si>
  <si>
    <t>V-StrongLumio bezdrátový samonapájecí dveřní vypínač černý (535064)</t>
  </si>
  <si>
    <t>557476</t>
  </si>
  <si>
    <t>V-StrongLumio bezdrátový vypínač samonapájecí kulatý bílý (535065)</t>
  </si>
  <si>
    <t>557477</t>
  </si>
  <si>
    <t>V-StrongLumio bezdrátový vypínač samonapájecí kulatý černý (535066)</t>
  </si>
  <si>
    <t>557478</t>
  </si>
  <si>
    <t>V-StrongLumio spínací relé pro bezdrátové samonapájecí vypínače 230V (535067)</t>
  </si>
  <si>
    <t>557479</t>
  </si>
  <si>
    <t>V-StrongLumio LED pásek COB 24V 5W/m (320 LED/m) 8mm, bílá teplá (544503)</t>
  </si>
  <si>
    <t>557488</t>
  </si>
  <si>
    <t>V-StrongLumio LED pásek COB 24V 5W/m (320 LED/m) 8mm, bílá neutrální (544532)</t>
  </si>
  <si>
    <t>557588</t>
  </si>
  <si>
    <t>V-StrongLumio LED pásek COB 24V 5W/m (320 LED/m) 8mm, bílá studená (544533)</t>
  </si>
  <si>
    <t>557590</t>
  </si>
  <si>
    <t>V-StrongLumio LED pásek COB 12V 5W/m (320 LED/m) 8mm, bílá teplá (544534)</t>
  </si>
  <si>
    <t>557591</t>
  </si>
  <si>
    <t>V-StrongLumio LED pásek COB 12V 5W/m (320 LED/m) 8mm, bílá neutrální (544535)</t>
  </si>
  <si>
    <t>557592</t>
  </si>
  <si>
    <t>V-StrongLumio LED pásek COB 12V 5W/m (320 LED/m) 8mm, bílá studená (544536)</t>
  </si>
  <si>
    <t>557593</t>
  </si>
  <si>
    <t>V-StrongLumio LED pásek COB 24V 12W/m (480 LED/m) 8mm, extra bílá teplá (544583)</t>
  </si>
  <si>
    <t>557594</t>
  </si>
  <si>
    <t>V-StrongLumio LED pásek COB 24V 8W/m (320 LED/m) 5mm, bílá studená (544586)</t>
  </si>
  <si>
    <t>557595</t>
  </si>
  <si>
    <t>V-StrongLumio LED pásek free cut COB 24V 12W/m(528 LED/m) 8mm,bílá teplá(544587)</t>
  </si>
  <si>
    <t>557596</t>
  </si>
  <si>
    <t>V-StrongLumio LED pásek free cut COB 12V 12W/m (528 LED/m)8mm,bílá teplá(544594)</t>
  </si>
  <si>
    <t>557597</t>
  </si>
  <si>
    <t>V-StrongLumio LED pásek free cut COB 24V 12W/m(528 LED/m)8mm,bílá studená(544593</t>
  </si>
  <si>
    <t>557598</t>
  </si>
  <si>
    <t>V-StrongLumio LED pásek free cut COB 12V 12W/m(528 LED/m)8mm,bílá neutr.(544595)</t>
  </si>
  <si>
    <t>557600</t>
  </si>
  <si>
    <t>V-StrongLumio LED pásek free cut COB 12V 12W/m (528 LED/m)8mm,bílá stud.(544596)</t>
  </si>
  <si>
    <t>557601</t>
  </si>
  <si>
    <t>V-StrongLumio LED pásek vysoká svítivost 24V 12W/m  8mm, bílá teplá (544598)</t>
  </si>
  <si>
    <t>557755</t>
  </si>
  <si>
    <t>V-StrongLumio LED pásek vysoká svítivost 24V 12W/m  8mm, bílá studená (544702)</t>
  </si>
  <si>
    <t>557756</t>
  </si>
  <si>
    <t>V-StrongLumio napájecí zdroj pro LED 12V - 24W do zásuvky (544898)</t>
  </si>
  <si>
    <t>557757</t>
  </si>
  <si>
    <t>V-StrongLumio napájecí zdroj pro LED 24V - 24W do zásuvky (544899)</t>
  </si>
  <si>
    <t>557758</t>
  </si>
  <si>
    <t>V-StrongLumio napájecí zdroj pro LED 12V - 36W do zásuvky (544900)</t>
  </si>
  <si>
    <t>557759</t>
  </si>
  <si>
    <t>V-StrongLumio napájecí zdroj pro LED 24V - 36W do zásuvky (544901)</t>
  </si>
  <si>
    <t>557761</t>
  </si>
  <si>
    <t>V-StrongLumio napájecí zdroj plochý pro LED 12V - 50W (544903)</t>
  </si>
  <si>
    <t>557762</t>
  </si>
  <si>
    <t>V-StrongLumio napájecí zdroj plochý pro LED 12V - 150W (544904)</t>
  </si>
  <si>
    <t>557763</t>
  </si>
  <si>
    <t>V-StrongLumio napájecí zdroj plochý pro LED 24V - 150W (544906)</t>
  </si>
  <si>
    <t>557764</t>
  </si>
  <si>
    <t>V-StrongLumio RF dálkový ovladač/stmívač 12V/24V 1 zóna (546601)</t>
  </si>
  <si>
    <t>557765</t>
  </si>
  <si>
    <t>V-StrongLumio magnetický senzor pro dveřní vypínač (546602)</t>
  </si>
  <si>
    <t>557770</t>
  </si>
  <si>
    <t>V-StrongLumio dálkový ovladač pro digitální LED pásky 12-24V (544562)</t>
  </si>
  <si>
    <t>557771</t>
  </si>
  <si>
    <t>V-StrongLumio přijímač pro bezdrátové nabíjecí senzory Jack/6x Mini (546611)</t>
  </si>
  <si>
    <t>557772</t>
  </si>
  <si>
    <t>V-StrongLumio bezdrátový nabíjecí dotykový vypínač/stmívač (546612)</t>
  </si>
  <si>
    <t>557773</t>
  </si>
  <si>
    <t>V-StrongLumio bezdrátový vypínač samonapájecí 35mm k zafrézování bílý (546642)</t>
  </si>
  <si>
    <t>557774</t>
  </si>
  <si>
    <t>V-StrongLumio bezdrátový vypínač samonapájecí 35mm k zafrézování černý (546647)</t>
  </si>
  <si>
    <t>557843</t>
  </si>
  <si>
    <t>V-StrongLumio koncovky k profilu Groove 10 rovná černá (pár) (471886)</t>
  </si>
  <si>
    <t>557844</t>
  </si>
  <si>
    <t>557845</t>
  </si>
  <si>
    <t>V-StrongLumio povrchový vypínač/stmívač 12-24V, 4A konektory Mini, černá(405199)</t>
  </si>
  <si>
    <t>557846</t>
  </si>
  <si>
    <t>V-StrongLumio povrchový vypínač/stmívač 12-24V, 4A konektory Mini, bílá (405200)</t>
  </si>
  <si>
    <t>557847</t>
  </si>
  <si>
    <t>V-StrongLumio povrchový vyp./stmívač 12-24V,4A konektory Mini,stř.(405201)</t>
  </si>
  <si>
    <t>557848</t>
  </si>
  <si>
    <t>V-StrongLumio bezdotykový vypínač/stmívač alu,12/24V 48/96W 4A Mini,bílá(405917)</t>
  </si>
  <si>
    <t>557849</t>
  </si>
  <si>
    <t>V-StrongLumio bezdotykový vyp./stmívač alu,12/24V 4A konektory Mini,stř.(405202)</t>
  </si>
  <si>
    <t>557850</t>
  </si>
  <si>
    <t>V-StrongLumio bezdotykový vyp./stmívač alu,12/24V 48/96W 4A Mini,černá(405918)</t>
  </si>
  <si>
    <t>557851</t>
  </si>
  <si>
    <t>V-StrongLumio bezdrátový vypínač samonapájecí - 1 tlačítko zlatá (467128)</t>
  </si>
  <si>
    <t>557852</t>
  </si>
  <si>
    <t>V-StrongLumio bezdrátový vypínač samonapájecí - 2 tlačítka černá (491231)</t>
  </si>
  <si>
    <t>557853</t>
  </si>
  <si>
    <t>V-StrongLumio bezdrátový vypínač samonapájecí - 3 tlačítka bílá (467127)</t>
  </si>
  <si>
    <t>557854</t>
  </si>
  <si>
    <t>V-StrongLumio bezdrátový vypínač samonapájecí - 3 tlačítka černá (491232)</t>
  </si>
  <si>
    <t>557855</t>
  </si>
  <si>
    <t>V-StrongLumio bezdrátový vypínač samonapájecí - 3 tlačítka stříbrná (467132)</t>
  </si>
  <si>
    <t>557864</t>
  </si>
  <si>
    <t>V-StrongLumio koncovka pro LED pásek neon, s otvorem (405478)</t>
  </si>
  <si>
    <t>557865</t>
  </si>
  <si>
    <t>V-StrongLumio kovový držák pro LED pásek neon 4x10 mm (406056)</t>
  </si>
  <si>
    <t>557868</t>
  </si>
  <si>
    <t>V-StrongLumio kovový držák pro LED silikonový profil neon 8x16 mm (535091)</t>
  </si>
  <si>
    <t>557870</t>
  </si>
  <si>
    <t>V-StrongLumio LED pásek neon 6x12 mm 24V 9,6W(168 LED/m)IP67 bílá teplá (546625)</t>
  </si>
  <si>
    <t>557871</t>
  </si>
  <si>
    <t>V-StrongLumio koncovka pro neon 6x12 bez otvoru (546628)</t>
  </si>
  <si>
    <t>557872</t>
  </si>
  <si>
    <t>V-StrongLumio kovový držák pro neon 6x12, 30mm (546637)</t>
  </si>
  <si>
    <t>557873</t>
  </si>
  <si>
    <t>V-StrongLumio LED pásek neon 4x10 mm 24V 9,6W(168 LED/m)IP67 bílá teplá (546648)</t>
  </si>
  <si>
    <t>557874</t>
  </si>
  <si>
    <t>V-StrongLumio LED pásek neon "T" 4x10 mm 24V 9,6W (168 LED/m) bílá teplá(546649)</t>
  </si>
  <si>
    <t>557875</t>
  </si>
  <si>
    <t>V-StrongLumio koncovka pro neon 4x10 "T", s otvorem (546641)</t>
  </si>
  <si>
    <t>557876</t>
  </si>
  <si>
    <t>V-StrongLumio koncovka pro neon 4x10 "T", bez otvoru (546652)</t>
  </si>
  <si>
    <t>130658</t>
  </si>
  <si>
    <t>157845</t>
  </si>
  <si>
    <t>134109</t>
  </si>
  <si>
    <t>215849</t>
  </si>
  <si>
    <t>231820</t>
  </si>
  <si>
    <t>255929</t>
  </si>
  <si>
    <t>255930</t>
  </si>
  <si>
    <t>312316</t>
  </si>
  <si>
    <t>311064</t>
  </si>
  <si>
    <t>342534</t>
  </si>
  <si>
    <t>342515</t>
  </si>
  <si>
    <t>355856</t>
  </si>
  <si>
    <t>355857</t>
  </si>
  <si>
    <t>355858</t>
  </si>
  <si>
    <t>360507</t>
  </si>
  <si>
    <t>405207</t>
  </si>
  <si>
    <t>405204</t>
  </si>
  <si>
    <t>475425</t>
  </si>
  <si>
    <t>494176</t>
  </si>
  <si>
    <t>208132</t>
  </si>
  <si>
    <t>208133</t>
  </si>
  <si>
    <t>208148</t>
  </si>
  <si>
    <t>208150</t>
  </si>
  <si>
    <t>208151</t>
  </si>
  <si>
    <t>208152</t>
  </si>
  <si>
    <t>208153</t>
  </si>
  <si>
    <t>208154</t>
  </si>
  <si>
    <t>208155</t>
  </si>
  <si>
    <t>208156</t>
  </si>
  <si>
    <t>208165</t>
  </si>
  <si>
    <t>208166</t>
  </si>
  <si>
    <t>208172</t>
  </si>
  <si>
    <t>208174</t>
  </si>
  <si>
    <t>208177</t>
  </si>
  <si>
    <t>208195</t>
  </si>
  <si>
    <t>208196</t>
  </si>
  <si>
    <t>221100</t>
  </si>
  <si>
    <t>221101</t>
  </si>
  <si>
    <t>221102</t>
  </si>
  <si>
    <t>221103</t>
  </si>
  <si>
    <t>221104</t>
  </si>
  <si>
    <t>221105</t>
  </si>
  <si>
    <t>221106</t>
  </si>
  <si>
    <t>221113</t>
  </si>
  <si>
    <t>221115</t>
  </si>
  <si>
    <t>221117</t>
  </si>
  <si>
    <t>221118</t>
  </si>
  <si>
    <t>221119</t>
  </si>
  <si>
    <t>221120</t>
  </si>
  <si>
    <t>224805</t>
  </si>
  <si>
    <t>224806</t>
  </si>
  <si>
    <t>245932</t>
  </si>
  <si>
    <t>245933</t>
  </si>
  <si>
    <t>245934</t>
  </si>
  <si>
    <t>245943</t>
  </si>
  <si>
    <t>245944</t>
  </si>
  <si>
    <t>245948</t>
  </si>
  <si>
    <t>245949</t>
  </si>
  <si>
    <t>247038</t>
  </si>
  <si>
    <t>259805</t>
  </si>
  <si>
    <t>304741</t>
  </si>
  <si>
    <t>305211</t>
  </si>
  <si>
    <t>305213</t>
  </si>
  <si>
    <t>305289</t>
  </si>
  <si>
    <t>306372</t>
  </si>
  <si>
    <t>308432</t>
  </si>
  <si>
    <t>308433</t>
  </si>
  <si>
    <t>310626</t>
  </si>
  <si>
    <t>310627</t>
  </si>
  <si>
    <t>310628</t>
  </si>
  <si>
    <t>310630</t>
  </si>
  <si>
    <t>310632</t>
  </si>
  <si>
    <t>310634</t>
  </si>
  <si>
    <t>310653</t>
  </si>
  <si>
    <t>310728</t>
  </si>
  <si>
    <t>310734</t>
  </si>
  <si>
    <t>310735</t>
  </si>
  <si>
    <t>310737</t>
  </si>
  <si>
    <t>310741</t>
  </si>
  <si>
    <t>310767</t>
  </si>
  <si>
    <t>310769</t>
  </si>
  <si>
    <t>310773</t>
  </si>
  <si>
    <t>312238</t>
  </si>
  <si>
    <t>312327</t>
  </si>
  <si>
    <t>312328</t>
  </si>
  <si>
    <t>Balení</t>
  </si>
  <si>
    <t>HAL Master jednostka 500W 230V new</t>
  </si>
  <si>
    <t>557348</t>
  </si>
  <si>
    <t>HAL MultiSwitch contact dveřní vypínač k jednotce Master k zafrézování 8mm černý</t>
  </si>
  <si>
    <t>HAL MultiSwitch contact dverný vypínač k jednotke Master k zafréz. 8mm</t>
  </si>
  <si>
    <t>HAL MultiSwitch contact wyłącznik do zafrezowania do Master 8mm</t>
  </si>
  <si>
    <t>K-StrongLumio LED COB 24V 12W/m neutrálna, Surface strieb., krytka priesv., 2m</t>
  </si>
  <si>
    <t>K-StrongLumio LED COB 24V 12W/m zimna, srebrny, osłona półprzezroczysta, 2 m</t>
  </si>
  <si>
    <t>K-StrongLumio LED COB 24V 12W/m studená, Surface strieb., krytka priesv., 2m</t>
  </si>
  <si>
    <t>K-StrongLumio LED COB 24V 12W/m teplá II, Surface strieb., krytka priesv., 2m</t>
  </si>
  <si>
    <t>K-StrongLumio LED COB 24V 12W/m ciepła II, srebrny, osłona półprzezroczysta, 2m</t>
  </si>
  <si>
    <t>K-StrongLumio LED COB 24V 12W/m teplá, Surface strieborná, krytka priesvitná, 2m</t>
  </si>
  <si>
    <t>K-StrongLumio LED COB 24V 12W/m ciepła, srebrny, osłona półprzezroczysta, 2 m</t>
  </si>
  <si>
    <t>Místo toho zadávat 557398</t>
  </si>
  <si>
    <t>557343</t>
  </si>
  <si>
    <t>Osvětlené zrcadlo zakázka 800x1500mm Double Line</t>
  </si>
  <si>
    <t>SAL – włącznik nożny, zasilacz 12V 6W, rozdzielacz</t>
  </si>
  <si>
    <t>SAL LED punktowe OLK 10 12V 1,5W alu, białe ciepłe</t>
  </si>
  <si>
    <t>StrongLumio bezprzewodowy dotykowy wyłącznik/ściemniacz z funkcją ładowania</t>
  </si>
  <si>
    <t>StrongLumio bezprzewodowy czujnik drzwiowy z funkcją ładowania</t>
  </si>
  <si>
    <t>StrongLumio vezeték nélküli, önműködő ajtókapcsoló, fehér</t>
  </si>
  <si>
    <t>StrongLumio vezeték nélküli, önműködő ajtókapcsoló, fekete</t>
  </si>
  <si>
    <t>StrongLumio vezeték nélküli, önellátó, kerek, fehér kapcsoló</t>
  </si>
  <si>
    <t>StrongLumio vezeték nélküli, önellátó, kerek, fekete kapcsoló</t>
  </si>
  <si>
    <t>StrongLumio távirányító 12–24 V digitális LED-szalagokhoz</t>
  </si>
  <si>
    <t>StrongLumio pilot zdalnego sterowania do cyfrowych taśm LED 12–24V.</t>
  </si>
  <si>
    <t>StrongLumio ajtókapcsoló, max. 4 mágneses érzékelőhöz, 12/24 V</t>
  </si>
  <si>
    <t>StrongLumio interiérové LED svetlo Mini 300mm čierna</t>
  </si>
  <si>
    <t>Końcówka do neonu StrongLumio 4x10 „T”, bez otworu</t>
  </si>
  <si>
    <t>StrongLumio końcówka do neonu 4x10 „T”, z otworem</t>
  </si>
  <si>
    <t>StrongLumio końcówka do neonu 6x12, bez otworu</t>
  </si>
  <si>
    <t>StrongLumio końcówki do profilu Groove 10 szare (para)</t>
  </si>
  <si>
    <t>StrongLumio końcówki do profilu HI8, srebrne (para)</t>
  </si>
  <si>
    <t>StrongLumio végdugók a Maglyte-10 Angular profilhoz, fekete (pár)</t>
  </si>
  <si>
    <t>StrongLumio végdugók a Maglyte-10 Angular profilhoz, szürke (pár)</t>
  </si>
  <si>
    <t>StrongLumio Maglyte-10 profilvégdugók, fekete (pár)</t>
  </si>
  <si>
    <t>StrongLumio végdugók a Maglyte-10 profilhoz, szürke (pár)</t>
  </si>
  <si>
    <t>StrongLumio oświetlenie LED do łazienki 600 mm, chrom</t>
  </si>
  <si>
    <t>StrongLumio okrągłe oświetlenie LED do łazienki 600 mm, czarne</t>
  </si>
  <si>
    <t>StrongLumio mocowanie metalowe do taśmy neonowej LED 4x10 mm</t>
  </si>
  <si>
    <t>StrongLumio metalowy uchwyt do neonu 6x12, 30 mm</t>
  </si>
  <si>
    <t>StrongLumio taśma LED 14,4W/m 24V (60 LED/m) 12mm RGBW, neutralny biały</t>
  </si>
  <si>
    <t>StrongLumio Taśma LED 14,4W/m 24V (60 LED/m) 12mm RGBW, zimny biały</t>
  </si>
  <si>
    <t>StrongLumio Taśma LED 24V 14,4W/m (60 LED/m) 12mm RGBCCT</t>
  </si>
  <si>
    <t>StrongLumio LED pásik 24V 10+10W/m (576 LED/m) - 8mm 2PIN CCT</t>
  </si>
  <si>
    <t>StrongLumio Taśma LED COB 24V 11+11W/m (608 LED/m) 10mm CCT</t>
  </si>
  <si>
    <t>StrongLumio taśma LED COB 24V 14W/m (512 LED/m) 10mm, neutralny biały</t>
  </si>
  <si>
    <t>StrongLumio taśma LED COB 24V 14W/m (512 LED/m) 10mm, zimny biały</t>
  </si>
  <si>
    <t>StrongLumio Taśma LED COB 24V 14W/m (512 LED/m) 10mm, ciepła biała</t>
  </si>
  <si>
    <t>StrongLumio Taśma LED COB 24V 15W/m (840 LED/m) 10mm RGB</t>
  </si>
  <si>
    <t>StrongLumio LED szalag digitális COB 24V 12W/m (360 LED/m) 10mm, semleges fehér</t>
  </si>
  <si>
    <t>StrongLumio Cyfrowy pasek LED COB 24 V 12 W/m (360 LED/m) 10 mm, neutralna biel</t>
  </si>
  <si>
    <t>StrongLumio LED pásik neon "T" 4x10 mm 24V 9,6W (168 LED/m) IP67 bílá teplá</t>
  </si>
  <si>
    <t>StrongLumio taśma LED neon „T” 4x10 mm 24V 9,6W (168 LED/m) IP67, biała ciepła</t>
  </si>
  <si>
    <t>StrongLumio taśma LED neon 4x10 mm 24V 9,6W (168 LED/m) IP67, biała ciepła</t>
  </si>
  <si>
    <t>StrongLumio LED-szalag, nagy fényerő, 24 V, 12 W/m (160 LED/m), 8 mm, hideg fehé</t>
  </si>
  <si>
    <t>StrongLumio LED-szalag, nagy fényerő, 24 V, 12 W/m (160 LED/m), 8 mm, meleg fehé</t>
  </si>
  <si>
    <t>StrongLumio LED-szalag, nagy fényerő, 24 V, 20 W/m (240 LED/m), 10 mm, semleges</t>
  </si>
  <si>
    <t>StrongLumio mágneses érzékelő ajtókapcsolóhoz</t>
  </si>
  <si>
    <t>StrongLumio 2,1 mm-es DC-tápcsatlakozó kapcsos kialakítással (hím)</t>
  </si>
  <si>
    <t>StrongLumio profil LED Begton 12 – aluminium anodowane, 4050 mm</t>
  </si>
  <si>
    <t>StrongLumio profil LED Maglyte-10 Angular, 2030mm, srebrny anodowany</t>
  </si>
  <si>
    <t>StrongLumio profil LED Maglyte-10 Angular, 3030mm, czarna anodowany</t>
  </si>
  <si>
    <t>StrongLumio profil LED Maglyte-10, 2030mm, czarny  anodowany</t>
  </si>
  <si>
    <t>StrongLumio profil LED Maglyte-10, 2030mm, srebrny anodowany</t>
  </si>
  <si>
    <t>StrongLumio profil LED Maglyte-10, 3030mm,czarny  anodowany</t>
  </si>
  <si>
    <t>StrongLumio profil LED Maglyte-10, 3030mm, srebrny anodowany</t>
  </si>
  <si>
    <t>StrongLumio profil LED Smart 16 aluminium anodowane 1000mm</t>
  </si>
  <si>
    <t>StrongLumio profil LED Smart 16 aluminium anodowane 2000mm</t>
  </si>
  <si>
    <t>StrongLumio profil LED Smart 16 aluminium biały 1000mm</t>
  </si>
  <si>
    <t>StrongLumio profil LED Smart 16 aluminium biały 2000mm</t>
  </si>
  <si>
    <t>StrongLumio profil LED Smart 16 aluminium czarny 1000mm</t>
  </si>
  <si>
    <t>StrongLumio profil LED Smart 16 aluminium czarny 2000mm</t>
  </si>
  <si>
    <t>StrongLumio vevő/elosztó vezeték nélküli, önellátó 12/24 V-os kapcsolókhoz</t>
  </si>
  <si>
    <t>StrongLumio připojovací kabel 2m Mini konektor (285094)</t>
  </si>
  <si>
    <t>StrongLumio pripojovací kábel 2m Mini konektor (285094)</t>
  </si>
  <si>
    <t>StrongLumio csatlakozó kábel 2 m Mini csatlakozó (285094)</t>
  </si>
  <si>
    <t>StrongLumio kabel łączący 2 m – mini złącze (285094)</t>
  </si>
  <si>
    <t>StrongLumio kabel przyłączeniowy z mini złączem do neonu 6x12 mm, 2 m</t>
  </si>
  <si>
    <t>StrongLumio pilot RF / ściemniacz 12V/24V, 1 strefa</t>
  </si>
  <si>
    <t>StrongLumio sada LED profil Baselyte-10 High 2m+príslušenstvo, biela lak</t>
  </si>
  <si>
    <t>StrongLumio Baselyte-10 High 2 m-es LED-profil szett kiegészítőkkel, fehér lakk</t>
  </si>
  <si>
    <t>StrongLumio zestaw profilu LED Baselyte-10 High 2m+ akcesoria,biały lakierowany</t>
  </si>
  <si>
    <t>StrongLumio sada LED profil Baselyte-10 High 2m+príslušenstvo, čierna elox</t>
  </si>
  <si>
    <t>StrongLumio Baselyte-10 High 2 m-es LED-profilkészlet kiegészítőkkel, fekete elo</t>
  </si>
  <si>
    <t>StrongLumio zestaw profilu LED Baselyte-10 High 2 m + akcesoria, czarny elox</t>
  </si>
  <si>
    <t>StrongLumio sada LED profil Baselyte-10 High 2m+príslušenstvo, strieborná elox</t>
  </si>
  <si>
    <t>StrongLumio Baselyte-10 High 2 m-es LED-profil szett kiegészítőkkel, ezüst eloxá</t>
  </si>
  <si>
    <t>StrongLumio zestaw profilu LED Baselyte-10 High 2 m + akcesoria, srebrny elox</t>
  </si>
  <si>
    <t>StrongLumio sada LED profil Baselyte-10 Low 2m+príslušenstvo, biela lak</t>
  </si>
  <si>
    <t>StrongLumio Baselyte-10 Low 2 m-es LED-profil szett kiegészítőkkel, fehér lakk</t>
  </si>
  <si>
    <t>StrongLumio zestaw profilu LED Baselyte-10 Low 2 m+akcesoria,biały lakierowany</t>
  </si>
  <si>
    <t>StrongLumio sada LED profil Baselyte-10 Low 2m+príslušenstvo, čierna elox</t>
  </si>
  <si>
    <t>StrongLumio Baselyte-10 Low LED-profilkészlet 2 m + tartozékok, fekete eloxált</t>
  </si>
  <si>
    <t>StrongLumio zestaw profilu LED Baselyte-10 Low 2 m + akcesoria, czarny elox</t>
  </si>
  <si>
    <t>StrongLumio sada LED profil Baselyte-10 Low 2m+príslušenstvo, strieborná elox</t>
  </si>
  <si>
    <t>StrongLumio Baselyte-10 Low 2 m-es LED-profil szett kiegészítőkkel, ezüst eloxál</t>
  </si>
  <si>
    <t>StrongLumio zestaw profilu LED Baselyte-10 Low 2 m + akcesoria, srebrny elox</t>
  </si>
  <si>
    <t>StrongLumio Maglyte LED-profilkészlet 2 m + tartozékok, fehér lakk</t>
  </si>
  <si>
    <t>StrongLumio Zestaw LED profil Maglyte 2 m + akcesoria, biały lak</t>
  </si>
  <si>
    <t>StrongLumio Maglyte LED-profilkészlet 2 m + tartozékok, fekete eloxált</t>
  </si>
  <si>
    <t>StrongLumio Zestaw LED profil Maglyte 2 m + akcesoria, czarny elox</t>
  </si>
  <si>
    <t>StrongLumio Maglyte LED-profilkészlet 2 m + tartozékok, ezüst eloxált</t>
  </si>
  <si>
    <t>StrongLumio Zestaw LED profil Maglyte 2 m + akcesoria, srebrny elox</t>
  </si>
  <si>
    <t>StrongLumio LED-profilkészlet Maglyte-10 Angular 2 m + tartozékok, fehér lakk</t>
  </si>
  <si>
    <t>StrongLumio Zestaw LED profil Maglyte-10 Angular 2 m + akcesoria, biały lak</t>
  </si>
  <si>
    <t>StrongLumio LED-profilkészlet Maglyte-10 Angular 2 m + tartozékok, fekete eloxál</t>
  </si>
  <si>
    <t>StrongLumio Zestaw LED profil Maglyte-10 Angular 2 m + akcesoria, czarny elox</t>
  </si>
  <si>
    <t>StrongLumio LED-profilkészlet Maglyte-10 Angular 2 m + tartozékok, ezüst eloxált</t>
  </si>
  <si>
    <t>StrongLumio Zestaw LED profil Maglyte-10 Angular 2 m + akcesoria, srebrny elox</t>
  </si>
  <si>
    <t>StrongLumio mágneses profilrögzítő készlet Maglyte</t>
  </si>
  <si>
    <t>StrongLumio kapcsolórelé vezeték nélküli, önellátó 230 V-os kapcsolókhoz</t>
  </si>
  <si>
    <t>StrongLumio CCT LED-szalag csatlakozó 10 mm – háromeres kábel</t>
  </si>
  <si>
    <t>StrongLumio CCT LED-szalag csatlakozó, 10 mm – LED-szalag</t>
  </si>
  <si>
    <t>StrongLumio CCT/RGB COB LED-szalag csatlakozó, 10 mm – három- vagy négyeres kábe</t>
  </si>
  <si>
    <t>StrongLumio CCT/RGB COB LED-szalag csatlakozó, 10 mm – LED-szalag</t>
  </si>
  <si>
    <t>StrongLumio csatlakozó 5 mm-es COB LED-szalaghoz – kéteres kábel</t>
  </si>
  <si>
    <t>StrongLumio csatlakozó 5 mm-es COB LED-szalaghoz – LED-szalag</t>
  </si>
  <si>
    <t>StrongLumio csatlakozó RGB LED-szalaghoz, 10 mm – négyeres kábel</t>
  </si>
  <si>
    <t>StrongLumio csatlakozó RGB LED-szalag 10 mm – LED-szalag</t>
  </si>
  <si>
    <t>StrongLumio csatlakozó RGBCCT LED-szalag 12 mm – hateres kábel</t>
  </si>
  <si>
    <t>StrongLumio csatlakozó RGBCCT LED-szalag 12 mm – LED-szalag</t>
  </si>
  <si>
    <t>StrongLumio csatlakozó RGBW LED-szalag 12 mm – öteres kábel</t>
  </si>
  <si>
    <t>StrongLumio sarokcsatlakozó CCT/RGB COB LED-szalag 10 mm – LED-szalag</t>
  </si>
  <si>
    <t>StrongLumio sarokcsatlakozó 5 mm-es COB LED-szalag – LED-szalag</t>
  </si>
  <si>
    <t>StrongLumio zafrézovací vypínač/stmívač 12-24V 4A konektory Mini, bílá</t>
  </si>
  <si>
    <t>StrongLumio zafrézovací vypínač/stmívač 12-24V 4A konektory Mini, černá</t>
  </si>
  <si>
    <t>StrongLumio zafrézovací vypínač/stmívač 12-24V, 4A konektory Mini, stříbrná</t>
  </si>
  <si>
    <t>StrongLumio függesztőkábelek Maglyte profilokhoz, ezüst színű</t>
  </si>
  <si>
    <t>TL-LED-szalag csatlakozó 12/24 V, IP68</t>
  </si>
  <si>
    <t>TL-LED pásek 12V 9,6W/m (120 LED/m) 8mm, extra bílá teplá</t>
  </si>
  <si>
    <t>TL-LED pásik 12V 9,6W/m (120 LED/m) 8mm,extra biela teplá</t>
  </si>
  <si>
    <t>TL-LED szalag 12V 9,6W/m (120 LED/m) 8mm extra fehér meleg</t>
  </si>
  <si>
    <t>TL-LED taśma 12V 9,6W/m (120 LED/m) 8mm kolor biały ciepły</t>
  </si>
  <si>
    <t>TL-LED szalag,COB,10 W/m,12V,8mm,semleges fehér, IP20 (528 LED)</t>
  </si>
  <si>
    <t>TL-LED hajlítható szalag Z300 6,2 W/m 12 V 6 mm semleges fehér</t>
  </si>
  <si>
    <t>TL-vevőegység dimLED PR RGBW2</t>
  </si>
  <si>
    <t>V-StrongLumio bezdrôtový samonapájací dverový vypínač biely</t>
  </si>
  <si>
    <t>V-StrongLumio vezeték nélküli, önműködő ajtókapcsoló, fehér</t>
  </si>
  <si>
    <t>V-StrongLumio bezprzewodowy wyłącznik drzwiowy z własnym zasilaniem biały</t>
  </si>
  <si>
    <t>V-StrongLumio bezdrôtový samonapájací dverový vypínač čierny</t>
  </si>
  <si>
    <t>V-StrongLumio vezeték nélküli, önműködő ajtókapcsoló, fekete</t>
  </si>
  <si>
    <t>V-StrongLumio bezprzewodowy wyłącznik drzwiowy z własnym zasilaniem czarny</t>
  </si>
  <si>
    <t>V-StrongLumio bezdrôtový vypínač samonapájacíí guľatý biely</t>
  </si>
  <si>
    <t>V-StrongLumio vezeték nélküli, önellátó, kerek, fehér kapcsoló</t>
  </si>
  <si>
    <t>V-StrongLumio bezprzewodowy wyłącznik  z własnym zasilaniem okrągły biały</t>
  </si>
  <si>
    <t>V-StrongLumio bezdrôtový vypínač samonapájací guľatý čierny</t>
  </si>
  <si>
    <t>V-StrongLumio vezeték nélküli, önellátó, kerek, fekete kapcsoló</t>
  </si>
  <si>
    <t>V-StrongLumio bezprzewodowy wyłącznik samozasilający okrągły czarny</t>
  </si>
  <si>
    <t>V-StrongLumio koncovky k profilu Groove 10 rovná (pár) bílá (499423)</t>
  </si>
  <si>
    <t>V-StrongLumio krycia lišta C2 k profilu Slim 8/Smart 10 naklap., 3000mm mliečna</t>
  </si>
  <si>
    <t>V-StrongLumio takaróprofil  Slim/Smart10/Smart-In10 LED profilhoz tejfehér 3m</t>
  </si>
  <si>
    <t>V-StrongLumio listwa maskująca do profilu Slim8/Smart10 wciskana 3000mm mleczna</t>
  </si>
  <si>
    <t>V-StrongLumio LED pásik COB 24V 5W/m (320 LED/m) 8mm, biela neutrálna</t>
  </si>
  <si>
    <t>V-StrongLumio LED szalag, COB 24V 5W/m (320 LED/m) - 8mm semleges fehér</t>
  </si>
  <si>
    <t>V-StrongLumio LED pasek COB 24V 5W/m (320 LED/m) 8 mm, biała neutralna</t>
  </si>
  <si>
    <t>V-StrongLumio LED pásik COB 24V 5W/m (320 LED/m) 8mm biela teplá</t>
  </si>
  <si>
    <t>V-StrongLumio LED szalag, COB 24V 5W/m (320 LED/m) - 8mm - meleg fehér</t>
  </si>
  <si>
    <t>V-StrongLumio taśma LED COB 24V 5W/m (320 LED/m) - 8mm -ciepły biały</t>
  </si>
  <si>
    <t>V-StrongLumio spínacie relé pre bezdrôtové samočinné spínače 230V</t>
  </si>
  <si>
    <t>V-StrongLumio kapcsolórelé vezeték nélküli, önellátó 230 V-os kapcsolókhoz</t>
  </si>
  <si>
    <t>VStrongLumio przekaźnik przeł. do bezprzew. włączników z własnym zasilaniem 230V</t>
  </si>
  <si>
    <t>Počet sestav:</t>
  </si>
  <si>
    <t>Rozbal.</t>
  </si>
  <si>
    <t>O</t>
  </si>
  <si>
    <t>J</t>
  </si>
  <si>
    <t>O!</t>
  </si>
  <si>
    <t>O*</t>
  </si>
  <si>
    <t>557924</t>
  </si>
  <si>
    <t>V-StrongLumio koncovky k profilu Begton 12 oblá, černá (pár) (405279)</t>
  </si>
  <si>
    <t>StrongLumio přijímač pro bezdrátové samonapájecí vypínače 12/24V (Wi-fi)</t>
  </si>
  <si>
    <t>StrongLumio prijímač pre bezdrôtové samonapájacie vypínače 12/24V (wi-fi)</t>
  </si>
  <si>
    <t>StrongLumio odbiornik do  bezprzewodowych wyłączników samozasilających 12/24V (wi-fi)</t>
  </si>
  <si>
    <t>StrongLumio vezérlőegység az öntápláló kapcsolóhoz 12/24V (wi-fi)</t>
  </si>
  <si>
    <t>počet jednotek:</t>
  </si>
  <si>
    <t>Zostava</t>
  </si>
  <si>
    <t>Tvar zostavy:</t>
  </si>
  <si>
    <t>áno</t>
  </si>
  <si>
    <t>nie</t>
  </si>
  <si>
    <t>Bude prerušený led pásik?</t>
  </si>
  <si>
    <t>Rovný bez prerušenia - napájanie vľavo</t>
  </si>
  <si>
    <t>Rovný bez prerušenia - napájanie vpravo</t>
  </si>
  <si>
    <t>Rovný s prerušením - napájanie vľavo</t>
  </si>
  <si>
    <t>Rovný s prerušením - napájanie vpravo</t>
  </si>
  <si>
    <t>Rovný s prerušením - napájanie v prerušení</t>
  </si>
  <si>
    <t>Rohový bez prerušenia - napájanie vľavo</t>
  </si>
  <si>
    <t>Rohový bez prerušenia - napájanie vpravo</t>
  </si>
  <si>
    <t>Rohový bez prerušenia - napájanie v rohu</t>
  </si>
  <si>
    <t>Rohový s prerušením - napájanie vľavo</t>
  </si>
  <si>
    <t>Rohový s prerušením - napájanie vpravo</t>
  </si>
  <si>
    <t>Rohový s prerušením - napájanie v rohu</t>
  </si>
  <si>
    <t>Rohový s prerušením - napájanie v prerušení</t>
  </si>
  <si>
    <t>Prerušenie vľavo</t>
  </si>
  <si>
    <t>Prerušenie vpravo</t>
  </si>
  <si>
    <t>Umiestnenie napájania:</t>
  </si>
  <si>
    <t>vľavo</t>
  </si>
  <si>
    <t>v prerušení</t>
  </si>
  <si>
    <t>Umiestnenie prerušenia:</t>
  </si>
  <si>
    <t>Definuj dĺžky:</t>
  </si>
  <si>
    <t>k zafrézovaniu</t>
  </si>
  <si>
    <t>Chcete profily skrátiť na mieru?</t>
  </si>
  <si>
    <t>Farba:</t>
  </si>
  <si>
    <t>Verzia 1.0</t>
  </si>
  <si>
    <t>biela</t>
  </si>
  <si>
    <t>čierna</t>
  </si>
  <si>
    <t>strieborná</t>
  </si>
  <si>
    <t>Definujte tvar zostavy:</t>
  </si>
  <si>
    <t>Krycia lišta:</t>
  </si>
  <si>
    <t>objednavkySK@demos-trade.com</t>
  </si>
  <si>
    <t>mliečna</t>
  </si>
  <si>
    <t xml:space="preserve">priesvitná </t>
  </si>
  <si>
    <t>bez krycej lišta</t>
  </si>
  <si>
    <t>priepustnosť svetla</t>
  </si>
  <si>
    <t>Množstvo koncoviek (páry):</t>
  </si>
  <si>
    <t>páre</t>
  </si>
  <si>
    <t>LED pásik:</t>
  </si>
  <si>
    <t>Napätie:</t>
  </si>
  <si>
    <t>Typ led pásiku:</t>
  </si>
  <si>
    <t>Teplota LED pásiku:</t>
  </si>
  <si>
    <t>extra teplá +-2000k</t>
  </si>
  <si>
    <t>teplá +-3000k</t>
  </si>
  <si>
    <t>neutrálna +-4000k</t>
  </si>
  <si>
    <t>studená +-6500k</t>
  </si>
  <si>
    <t>Svietivosť:</t>
  </si>
  <si>
    <t>nízka (do 500lm/m)</t>
  </si>
  <si>
    <t>stredná (do 1000 lm/m)</t>
  </si>
  <si>
    <t>veľmi vysoká (nad 2000 lm/m)</t>
  </si>
  <si>
    <t>pozn: pre osvetlenie pracovnej dosky stačí vysoká svietivosť</t>
  </si>
  <si>
    <t>Dĺžka (mm):</t>
  </si>
  <si>
    <t>Množstvo (ks):</t>
  </si>
  <si>
    <t>Zadávajte celkovú vonkajšiu dĺžku vr. koncoviek</t>
  </si>
  <si>
    <t>v profile</t>
  </si>
  <si>
    <t>bezdrôtové</t>
  </si>
  <si>
    <t>vlastný vypínač na stene</t>
  </si>
  <si>
    <t>Spôsob ovládania zostavy:</t>
  </si>
  <si>
    <t>Bude</t>
  </si>
  <si>
    <t>Typ bezdrôtového ovládača:</t>
  </si>
  <si>
    <t>na batériu</t>
  </si>
  <si>
    <t>Počet vypínačov:</t>
  </si>
  <si>
    <t>1 = ovláda celú zostavu</t>
  </si>
  <si>
    <t>2 = ovláda každé rameno zvlášť</t>
  </si>
  <si>
    <t>upozornenie: dĺžka zostavy sa preĺži o vybrané koncovky</t>
  </si>
  <si>
    <t>Ovládanie:</t>
  </si>
  <si>
    <t>POZOR! Neplatná kombinácia - skontrolujte všetky voľby</t>
  </si>
  <si>
    <t>Počet jednotiek:</t>
  </si>
  <si>
    <t>Prehľad ovládačov</t>
  </si>
  <si>
    <t>tu</t>
  </si>
  <si>
    <t>Súhrn</t>
  </si>
  <si>
    <t xml:space="preserve">príchyty </t>
  </si>
  <si>
    <t>obojstranná lepiaca páska</t>
  </si>
  <si>
    <t>vlastné riešenie</t>
  </si>
  <si>
    <t>Nalepiť LED pásik do profilu:</t>
  </si>
  <si>
    <t>Názov:</t>
  </si>
  <si>
    <t>Upraviť množstvo:</t>
  </si>
  <si>
    <t>Cena celkom:</t>
  </si>
  <si>
    <t>Zľava:</t>
  </si>
  <si>
    <t>Cena po zľave:</t>
  </si>
  <si>
    <t>Celková dĺžka LED pásiku (m):</t>
  </si>
  <si>
    <t>Množstvo:</t>
  </si>
  <si>
    <t>Pokial chcete iný spôsob zapojenia, využite nižšie políčko pre poznámku a priložte nákres k objednávke.</t>
  </si>
  <si>
    <t>Maximálny výkon led pásiku prekračuje maximálny spínavý výkon vypínača. Zvoľte iný vypínač, alebo slabší led pásik</t>
  </si>
  <si>
    <t>Názov firmy:</t>
  </si>
  <si>
    <t>Adresa dodania:</t>
  </si>
  <si>
    <t>Kontaktný tel a e-mail:</t>
  </si>
  <si>
    <t>Umiestnenie vypínača od prerušenia:</t>
  </si>
  <si>
    <t>Vždy používajte aktuálnu verziu formulára, ktorý je dostupný na naších stránkach.</t>
  </si>
  <si>
    <t>Vyplňte, prosím, Vaše kontaktné údaje a potom klinite na požadované políčko nižšie.</t>
  </si>
  <si>
    <t>Počet zostáv:</t>
  </si>
  <si>
    <t>Pri vyplňovaní formulára postupujte vždy zhora dole. Ak urobíte spätne zmenu, prekontrolujte si, či sú následujúce položky správne.</t>
  </si>
  <si>
    <t>Vyplnenú objednávku pošlite na adresu objednavkySK@demos-trade.com</t>
  </si>
  <si>
    <t>V prípade potreby, prosím, konzultujte zostavu s oddelením technickej podpory, tel. +420 724 474 382</t>
  </si>
  <si>
    <t xml:space="preserve">Bežný termín prípravy LED zostavy je 5-10 pracovných dní. </t>
  </si>
  <si>
    <t>Ceny sú uvedené bez DPH!</t>
  </si>
  <si>
    <t>Na poplatky za prípravu LED zostavy nie je možné aplikovať žiadne zľavy.</t>
  </si>
  <si>
    <t>Egyedi LED-szerelvények gyártása</t>
  </si>
  <si>
    <t xml:space="preserve">A kitöltött megrendelést küldje el a következő címre: </t>
  </si>
  <si>
    <t xml:space="preserve">Wypełnione zamówienie wyślij pod adres: </t>
  </si>
  <si>
    <t xml:space="preserve">Vyplnenú objednávku zašlite na adresu: </t>
  </si>
  <si>
    <t xml:space="preserve">Vyplněnou objednávku zašlete na adresu: </t>
  </si>
  <si>
    <t>Szerelvény</t>
  </si>
  <si>
    <t>Szerelvény kialakítása:</t>
  </si>
  <si>
    <t>egyenes</t>
  </si>
  <si>
    <t>sarok</t>
  </si>
  <si>
    <t>igen</t>
  </si>
  <si>
    <t>nem</t>
  </si>
  <si>
    <t>Meg lesz szakítva a LED szalag?</t>
  </si>
  <si>
    <t>Egyenes megszakítás nélkül - tápellátás bal oldalon</t>
  </si>
  <si>
    <t>Egyenes megszakítás nélkül - tápellátás jobb oldalon</t>
  </si>
  <si>
    <t>Egyenes megszakítással - tápellátás bal oldalon</t>
  </si>
  <si>
    <t>Egyenes megszakítással - tápellátás jobb oldalon</t>
  </si>
  <si>
    <t>Egyenes megszakítással - tápellátás a megszakításnál</t>
  </si>
  <si>
    <t>Sarok megszakítás nélkül - tápellátás bal oldalon</t>
  </si>
  <si>
    <t>Sarok megszakítás nélkül - tápellátás jobb oldalon</t>
  </si>
  <si>
    <t>Sarok megszakítás nélkül - tápellátás a sarokban</t>
  </si>
  <si>
    <t>Sarok megszakítással - tápellátás bal oldalon</t>
  </si>
  <si>
    <t>Sarok megszakítással - tápellátás jobb oldalon</t>
  </si>
  <si>
    <t>Sarok megszakítással - tápellátás a sarokban</t>
  </si>
  <si>
    <t>Sarok megszakítással - tápellátás a megszakításnál</t>
  </si>
  <si>
    <t>Megszakítás bal oldalon</t>
  </si>
  <si>
    <t>Megszakítás jobb oldalon</t>
  </si>
  <si>
    <t>Hol?</t>
  </si>
  <si>
    <t>Tápellátás helye:</t>
  </si>
  <si>
    <t>bal oldalon</t>
  </si>
  <si>
    <t>jobb oldalon</t>
  </si>
  <si>
    <t>a megszakításnál</t>
  </si>
  <si>
    <t>Megszakítás helye:</t>
  </si>
  <si>
    <t>a sarokban</t>
  </si>
  <si>
    <t>Határozza meg a hosszakat:</t>
  </si>
  <si>
    <t>felületi</t>
  </si>
  <si>
    <t>bemarható</t>
  </si>
  <si>
    <t>profil nélkül</t>
  </si>
  <si>
    <t>Szeretné a profilokat méretre vágatni?</t>
  </si>
  <si>
    <t>Szerelés:</t>
  </si>
  <si>
    <t>Szín:</t>
  </si>
  <si>
    <t>1.0- es változat</t>
  </si>
  <si>
    <t>fehér</t>
  </si>
  <si>
    <t>fekete</t>
  </si>
  <si>
    <t>ezüst</t>
  </si>
  <si>
    <t>Válassza ki a szerelvény kialakítását:</t>
  </si>
  <si>
    <t>Válassza ki a profilt:</t>
  </si>
  <si>
    <t>Takaróprofil:</t>
  </si>
  <si>
    <t>opál</t>
  </si>
  <si>
    <t>transzparens</t>
  </si>
  <si>
    <t>fedőprofil nélkül</t>
  </si>
  <si>
    <t>- fényáteresztő képesség</t>
  </si>
  <si>
    <t>Végzáró:</t>
  </si>
  <si>
    <t>Végzárók mennyisége (pár):</t>
  </si>
  <si>
    <t>LED szalag:</t>
  </si>
  <si>
    <t>Feszültség:</t>
  </si>
  <si>
    <t>LED szalag típusa:</t>
  </si>
  <si>
    <t>LED szalag színhőmérséklete:</t>
  </si>
  <si>
    <t>extra meleg +- 2000K</t>
  </si>
  <si>
    <t>meleg +-3000K</t>
  </si>
  <si>
    <t>semleges +- 4000K</t>
  </si>
  <si>
    <t>hideg +-6500K</t>
  </si>
  <si>
    <t>Fényáram:</t>
  </si>
  <si>
    <t>alacsony (500 lm/m-ig)</t>
  </si>
  <si>
    <t>közepes (1000 lm/m-ig)</t>
  </si>
  <si>
    <t>magas (2000 lm/m-ig)</t>
  </si>
  <si>
    <t>extra magas (2000 lm/m felett)</t>
  </si>
  <si>
    <t>megj.: a munkalap megvilágításához elegendő a magas fényáram</t>
  </si>
  <si>
    <t>Hossz (mm):</t>
  </si>
  <si>
    <t>Mennyiség (db):</t>
  </si>
  <si>
    <t>A teljes külső hossz végzárókkal együtt</t>
  </si>
  <si>
    <t>db</t>
  </si>
  <si>
    <t>profilban</t>
  </si>
  <si>
    <t>profilon kívül</t>
  </si>
  <si>
    <t>vezeték nélküli</t>
  </si>
  <si>
    <t>saját fali kapcsoló</t>
  </si>
  <si>
    <t>Szerelvény vezérlésének módja:</t>
  </si>
  <si>
    <t>Kapcsoló:</t>
  </si>
  <si>
    <t>Lesz</t>
  </si>
  <si>
    <t>Vezeték nélküli vezérlő típusa:</t>
  </si>
  <si>
    <t>kinetikus</t>
  </si>
  <si>
    <t>elemes</t>
  </si>
  <si>
    <t>Egység:</t>
  </si>
  <si>
    <t>Kapcsolók száma:</t>
  </si>
  <si>
    <t>1 = az egész szerelvényt vezérli</t>
  </si>
  <si>
    <t>2 = minden egyes ágat külön vezérel</t>
  </si>
  <si>
    <t>figyelmeztetés: a szerelvény hossza a kiválasztott végzárókkal meghosszabbodik</t>
  </si>
  <si>
    <t>Vezérlés:</t>
  </si>
  <si>
    <t>FIGYELEM! Érvénytelen kombináció – ellenőrizze a választott opciókat!</t>
  </si>
  <si>
    <t>Egységek száma:</t>
  </si>
  <si>
    <t>Vezérlők áttekintése</t>
  </si>
  <si>
    <t>itt</t>
  </si>
  <si>
    <t>Összegzés</t>
  </si>
  <si>
    <t>rögzítők</t>
  </si>
  <si>
    <t>kétoldalas ragasztószalag</t>
  </si>
  <si>
    <t>saját megoldás</t>
  </si>
  <si>
    <t>Profil szerelése:</t>
  </si>
  <si>
    <t>LED szalag beragasztása a profilba:</t>
  </si>
  <si>
    <t>Cikkszám:</t>
  </si>
  <si>
    <t>Elnevezés:</t>
  </si>
  <si>
    <t>Mennyiség módosítása:</t>
  </si>
  <si>
    <t>Egységár/db:</t>
  </si>
  <si>
    <t>Összesen:</t>
  </si>
  <si>
    <t>Kedvezmény:</t>
  </si>
  <si>
    <t>Kedvezményes ár:</t>
  </si>
  <si>
    <t>LED szalag teljes hossza (m):</t>
  </si>
  <si>
    <t>Mennyiség:</t>
  </si>
  <si>
    <t>Amennyiben más bekötési módot szeretne, kérjük, használja az alábbi megjegyzés rovatot, és csatolja a rajzot a megrendeléshez.</t>
  </si>
  <si>
    <t>A LED szalag maximális teljesítménye meghaladja a kapcsoló maximális kapcsolható teljesítményét. Válasszon másik kapcsolót vagy kisebb teljesítményű LED szalagot</t>
  </si>
  <si>
    <t>Gyártási cikkszám:</t>
  </si>
  <si>
    <t>ME</t>
  </si>
  <si>
    <t>Cégnév:</t>
  </si>
  <si>
    <t>Szállítási cím:</t>
  </si>
  <si>
    <t>Adószám:</t>
  </si>
  <si>
    <t>Kapcsolattartó tel. és e-mail:</t>
  </si>
  <si>
    <t>A kapcsoló elhelyezkedése a megszakítástól:</t>
  </si>
  <si>
    <t>Mindig az oldalunkon elérhető aktuális űrlapverziót használja.</t>
  </si>
  <si>
    <t>Kérjük, töltse ki az elérhetőségeit, majd kattintson az alábbi kívánt mezőre.</t>
  </si>
  <si>
    <t>Szerelvények száma:</t>
  </si>
  <si>
    <t>Az űrlap kitöltésekor mindig fentről lefelé haladjon. Ha visszamenőleg módosítást végez, ellenőrizze, hogy a következő mezők adatai helyesek-e.</t>
  </si>
  <si>
    <t>A kitöltött megrendelést küldje a megrendelesek@demos-trade.com e-mail címre.</t>
  </si>
  <si>
    <t>Kérdés esetén forduljon bizalommal műszaki tanácsadónkhoz a muszakitanacsadas@demos-trade.com e-mail címen.</t>
  </si>
  <si>
    <t>A LED-szerelvény elkészítésének ideje kb 5-10 munkanap.</t>
  </si>
  <si>
    <t>A feltüntetett árak áfa nélkül értendők!</t>
  </si>
  <si>
    <t>A LED-szerelvény előkészítési díjára semmilyen kedvezmény nem érvényesíthető.</t>
  </si>
  <si>
    <t>Späť</t>
  </si>
  <si>
    <t>Powrót</t>
  </si>
  <si>
    <t>Vissza</t>
  </si>
  <si>
    <t>StrongLumio LED szalag, nagy fényerő, 24V 12W/m (160 LED/m), 8 mm, semleges fehér</t>
  </si>
  <si>
    <t>poč. vyp. 1</t>
  </si>
  <si>
    <t>poč. vyp. 2</t>
  </si>
  <si>
    <t>Led pásek dle zadaných parametrů nemáme v nabídce</t>
  </si>
  <si>
    <t>Nie oferujemy taśm LED o podanych parametrach.</t>
  </si>
  <si>
    <t>Led pásik podľa zadaných parametrov nemáme v ponuke</t>
  </si>
  <si>
    <t>Nem kínálunk LED szalagokat a megadott paraméterek szerint.</t>
  </si>
  <si>
    <t>D:</t>
  </si>
  <si>
    <t>Produkcja zestawów taśm LED na wymiar</t>
  </si>
  <si>
    <t>Zestaw</t>
  </si>
  <si>
    <t>Kształt zestawu</t>
  </si>
  <si>
    <t>prosty</t>
  </si>
  <si>
    <t>narożny</t>
  </si>
  <si>
    <t>tak</t>
  </si>
  <si>
    <t>Czy taśma LED ma być dzielona?</t>
  </si>
  <si>
    <t>Prosty, bez dzielenia taśmy LED - zasilanie po lewej stronie.</t>
  </si>
  <si>
    <t>Prosty, bez dzielenia taśmy LED - zasilanie po prawej stronie.</t>
  </si>
  <si>
    <t>Prosty z dzieleniem taśmy LED - zasilanie po lewej stronie.</t>
  </si>
  <si>
    <t>Prosty z dzieleniem taśmy LED - zasilanie po prawej stronie.</t>
  </si>
  <si>
    <t>Prosty z dzieleniem taśmy LED - zasilanie w miejscu dzielenia</t>
  </si>
  <si>
    <t>Narożny bez dzielenia taśmy LED - zasilanie po lewej stronie.</t>
  </si>
  <si>
    <t>Narożny bez dzielenia taśmy LED - zasilanie po prawej stronie.</t>
  </si>
  <si>
    <t>Narożny bez dzielenia taśmy LED – zasilanie w narożniku.</t>
  </si>
  <si>
    <t>Narożny z dzieleniem taśmy LED – zasilanie z lewej strony.</t>
  </si>
  <si>
    <t>Narożny z dzieleniem taśmy LED – zasilanie z prawej strony.</t>
  </si>
  <si>
    <t>Narożny z dzieleniem taśmy LED – zasilanie w narożniku.</t>
  </si>
  <si>
    <t>Narożny z dzieleniem taśmy LED – zasilanie w miejscu dzielenia.</t>
  </si>
  <si>
    <t>Dzielenie po lewej stronie.</t>
  </si>
  <si>
    <t>Dzielenie po prawej stronie.</t>
  </si>
  <si>
    <t>Gdzie?</t>
  </si>
  <si>
    <t>Umieszczenie zasilacza:</t>
  </si>
  <si>
    <t>po prawej stronie</t>
  </si>
  <si>
    <t>po lewej stronie</t>
  </si>
  <si>
    <t>w miejscu dzielenia</t>
  </si>
  <si>
    <t>Umieszczenie dzielenia:</t>
  </si>
  <si>
    <t>w rogu</t>
  </si>
  <si>
    <t>Określ odległości:</t>
  </si>
  <si>
    <t>nawierzchniowa</t>
  </si>
  <si>
    <t>do zafrezowania</t>
  </si>
  <si>
    <t>rogowa</t>
  </si>
  <si>
    <t>Czy chcesz przyciąć profile na wymiar?</t>
  </si>
  <si>
    <t>Montaż:</t>
  </si>
  <si>
    <t>Kolor:</t>
  </si>
  <si>
    <t>Wersja 1.0</t>
  </si>
  <si>
    <t>biała</t>
  </si>
  <si>
    <t>czarna</t>
  </si>
  <si>
    <t>srebrna</t>
  </si>
  <si>
    <t>Określ kształt zestawu:</t>
  </si>
  <si>
    <t>Określ profil:</t>
  </si>
  <si>
    <t>Zaślepka:</t>
  </si>
  <si>
    <t>mleczna</t>
  </si>
  <si>
    <t>przeźroczysta</t>
  </si>
  <si>
    <t>bez zaślepki</t>
  </si>
  <si>
    <t xml:space="preserve"> - przepustowośćświatła</t>
  </si>
  <si>
    <t>Końcówka:</t>
  </si>
  <si>
    <t>Ilość zaślepek (para):</t>
  </si>
  <si>
    <t>para</t>
  </si>
  <si>
    <t>pary</t>
  </si>
  <si>
    <t>LED taśma:</t>
  </si>
  <si>
    <t>Napięcie:</t>
  </si>
  <si>
    <t>Typ taśmy LED:</t>
  </si>
  <si>
    <t>Barwa taśmy LED:</t>
  </si>
  <si>
    <t>extra ciepła +- 2000K</t>
  </si>
  <si>
    <t>ciepła +-3000K</t>
  </si>
  <si>
    <t>neutralna +-4000K</t>
  </si>
  <si>
    <t>zimna +-6500K</t>
  </si>
  <si>
    <t>Jasność:</t>
  </si>
  <si>
    <t>niska (do 500 lm/m)</t>
  </si>
  <si>
    <t>średnia (do 1000 lm/m)</t>
  </si>
  <si>
    <t>wysoka (do 2000 lm/m)</t>
  </si>
  <si>
    <t>bardzo wysoka (ponad 2000 lm/m)</t>
  </si>
  <si>
    <t>Uwaga: Do oświetlenia blatu roboczego wystarczy wysoka jasność.</t>
  </si>
  <si>
    <t>Długość (mm)</t>
  </si>
  <si>
    <t>Ilość (szt)</t>
  </si>
  <si>
    <t>Podaj całkowitą długość zewnętrzną wraz z końcówkami.</t>
  </si>
  <si>
    <t>szt</t>
  </si>
  <si>
    <t>w profilu</t>
  </si>
  <si>
    <t>poza profilem</t>
  </si>
  <si>
    <t>bezprzewodowe</t>
  </si>
  <si>
    <t>własny włącznik na ścianie</t>
  </si>
  <si>
    <t>Sposób sterowania zestawem:</t>
  </si>
  <si>
    <t>Włącznik:</t>
  </si>
  <si>
    <t>Będzie</t>
  </si>
  <si>
    <t>Typ sterownika bezprzewodowego:</t>
  </si>
  <si>
    <t>kinetyczne</t>
  </si>
  <si>
    <t>bateryjne</t>
  </si>
  <si>
    <t>Jednostka:</t>
  </si>
  <si>
    <t>Liczba włączników:</t>
  </si>
  <si>
    <t>1 = steruje całym zestawem</t>
  </si>
  <si>
    <t>2 = steruje każdą gałęzią oddzielnie</t>
  </si>
  <si>
    <t>Uwaga: długość zestawu zostanie powiększona o długość wybranych końcówek.</t>
  </si>
  <si>
    <t>Sterowanie:</t>
  </si>
  <si>
    <t>UWAGA! Nieprawidłowa kombinacja – sprawdź wszystkie wybrane opcje.</t>
  </si>
  <si>
    <t>Liczba jednostek:</t>
  </si>
  <si>
    <t>Przegląd sterowników</t>
  </si>
  <si>
    <t>Podsumowanie</t>
  </si>
  <si>
    <t>uchwyty</t>
  </si>
  <si>
    <t>dwustronna taśma klejąca</t>
  </si>
  <si>
    <t>własne rozwiązanie</t>
  </si>
  <si>
    <t>Montaż profilu:</t>
  </si>
  <si>
    <t>Przykleić taśmę LED do profilu:</t>
  </si>
  <si>
    <t>Kod:</t>
  </si>
  <si>
    <t>Nazwa:</t>
  </si>
  <si>
    <t>Zmienić ilość:</t>
  </si>
  <si>
    <t>Cena/ szt:</t>
  </si>
  <si>
    <t>Cena całkowita:</t>
  </si>
  <si>
    <t>Rabat:</t>
  </si>
  <si>
    <t>Cena po rabacie:</t>
  </si>
  <si>
    <t>Całkowita długość taśmy LED (m):</t>
  </si>
  <si>
    <t>Ilość:</t>
  </si>
  <si>
    <t>Jeśli chcesz zastosować inny sposób podłączenia, skorzystaj z pola uwag poniżej i dołącz schemat do zamówienia.</t>
  </si>
  <si>
    <t>Maksymalna moc taśmy LED przekracza maksymalną moc obciążenia włącznika. Wybierz inny włącznik lub słabszą taśmę LED.</t>
  </si>
  <si>
    <t>Kod dostawy:</t>
  </si>
  <si>
    <t>JM</t>
  </si>
  <si>
    <t>Nazwa firmy:</t>
  </si>
  <si>
    <t>Adres dostawy:</t>
  </si>
  <si>
    <t>NIP:</t>
  </si>
  <si>
    <t>Tel i mail kontaktowy:</t>
  </si>
  <si>
    <t>Umiejscowienie włącznika względem miejsca dzielenia:.</t>
  </si>
  <si>
    <t>Zawsze korzystaj z aktualnej wersji formularza dostępnej na naszej stronie.</t>
  </si>
  <si>
    <t>Proszę wypełnić swoje dane kontaktowe, a następnie kliknąć wybrane pole poniżej.</t>
  </si>
  <si>
    <t>Liczba zestawów:</t>
  </si>
  <si>
    <t>Podczas wypełniania formularza należy zawsze postępować od góry do dołu. Jeśli później dokonasz zmian w poprzednich polach, sprawdź, czy wszystkie kolejne pozycje są nadal poprawne.</t>
  </si>
  <si>
    <t>Wypełnione zamówienie prosimy przesłać na adres: zamowienia@demos-trade.com</t>
  </si>
  <si>
    <t>W razie potrzeby prosimy o kontakt  z Biurem Obsługi Klienta, tel. +48 32 790 85 82.</t>
  </si>
  <si>
    <t>Standardowy termin przygotowania zestawu LED wynosi 5–10 dni roboczych</t>
  </si>
  <si>
    <t>Podane ceny są cenami netto (bez VAT)</t>
  </si>
  <si>
    <t>Opłaty za przygotowanie zestawu LED nie podlegają rabatowaniu.</t>
  </si>
  <si>
    <t>czarny</t>
  </si>
  <si>
    <t>Poplatok za jedno spájkovanie</t>
  </si>
  <si>
    <t>Poplatok za prípravu zostavy LED pásikov</t>
  </si>
  <si>
    <t>Opłata za jedno lutowanie</t>
  </si>
  <si>
    <t>Opłata za przygotowanie zestawu taśm LED</t>
  </si>
  <si>
    <t>Egy forrasztás díja</t>
  </si>
  <si>
    <t>A LED-szalag összeállításának előkészítési díja</t>
  </si>
  <si>
    <t>Opłata za jedno cięcie</t>
  </si>
  <si>
    <t>Egy vágás díja</t>
  </si>
  <si>
    <t>Sestava2!</t>
  </si>
  <si>
    <t>Sestava3!</t>
  </si>
  <si>
    <t>Sestava4!</t>
  </si>
  <si>
    <t xml:space="preserve">Celková cena za Sestavu </t>
  </si>
  <si>
    <t xml:space="preserve">Celková cena za Zostavu </t>
  </si>
  <si>
    <t xml:space="preserve">Cena całkowita za zestaw </t>
  </si>
  <si>
    <t>Szerelvény teljes ára</t>
  </si>
  <si>
    <t>Celková cena:</t>
  </si>
  <si>
    <t>Teljes ár:</t>
  </si>
  <si>
    <t>Název CZ</t>
  </si>
  <si>
    <t>Pro pokračování vyplňte pole Počet sestav níže.</t>
  </si>
  <si>
    <t>Aby kontynuować, wypełnij pole Liczba zestawów poniżej.</t>
  </si>
  <si>
    <t>A folytatáshoz töltse ki az alábbi Jelentések száma mezőt.</t>
  </si>
  <si>
    <t>Pre pokračovanie vyplňte pole Počet zostáv nižšie.</t>
  </si>
  <si>
    <t>Výroba LED zostav na mieru</t>
  </si>
  <si>
    <t>559333</t>
  </si>
  <si>
    <t>V-StrongLumio koncovky k profilu Begton 12 oblá, bílá (pár) (405278)</t>
  </si>
  <si>
    <t>V-StrongLumio koncovky k profilu Begton 12 oblá, biela (pár)</t>
  </si>
  <si>
    <t>V-StrongLumio końcówki do listwy Begton 12 okrągłe, białe (para)</t>
  </si>
  <si>
    <t>V-StrongLumio végzáró LED profilhoz Begton kerekített alakú fehér (pár)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</si>
</sst>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#,###.00000"/>
    <numFmt numFmtId="165" formatCode="##,###,###,###.00000"/>
    <numFmt numFmtId="166" formatCode="#####&quot; mm&quot;"/>
    <numFmt numFmtId="167" formatCode="###,###,###.0000"/>
    <numFmt numFmtId="168" formatCode="###,###,###"/>
    <numFmt numFmtId="169" formatCode="0\%"/>
    <numFmt numFmtId="170" formatCode="##,###,###,###.0"/>
    <numFmt numFmtId="171" formatCode="_-* #,##0.00\ _K_č_-;\-* #,##0.00\ _K_č_-;_-* &quot;-&quot;??\ _K_č_-;_-@_-"/>
  </numFmts>
  <fonts count="3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6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1"/>
      <name val="Calibri"/>
      <family val="2"/>
      <charset val="238"/>
    </font>
    <font>
      <sz val="16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b/>
      <sz val="14"/>
      <color theme="0"/>
      <name val="Arial"/>
      <family val="2"/>
      <charset val="238"/>
    </font>
    <font>
      <b/>
      <sz val="12"/>
      <color theme="0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8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Calibri"/>
    </font>
    <font>
      <sz val="12"/>
      <name val="Aptos Narrow"/>
      <family val="2"/>
      <charset val="238"/>
      <scheme val="minor"/>
    </font>
    <font>
      <b/>
      <sz val="14"/>
      <color theme="0"/>
      <name val="Aptos Narrow"/>
      <family val="2"/>
    </font>
    <font>
      <b/>
      <sz val="14"/>
      <color theme="0" tint="-4.9989318521683403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7" fillId="0" borderId="0"/>
    <xf numFmtId="44" fontId="24" fillId="0" borderId="0" applyFont="0" applyFill="0" applyBorder="0" applyAlignment="0" applyProtection="0"/>
    <xf numFmtId="0" fontId="31" fillId="0" borderId="0"/>
    <xf numFmtId="43" fontId="24" fillId="0" borderId="0" applyFont="0" applyFill="0" applyBorder="0" applyAlignment="0" applyProtection="0"/>
  </cellStyleXfs>
  <cellXfs count="425">
    <xf numFmtId="0" fontId="0" fillId="0" borderId="0" xfId="0"/>
    <xf numFmtId="0" fontId="2" fillId="2" borderId="0" xfId="2" applyFill="1"/>
    <xf numFmtId="0" fontId="0" fillId="0" borderId="0" xfId="0" applyAlignment="1">
      <alignment wrapText="1"/>
    </xf>
    <xf numFmtId="0" fontId="0" fillId="0" borderId="0" xfId="0" applyProtection="1">
      <protection locked="0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6" fillId="0" borderId="0" xfId="3" applyBorder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3" borderId="0" xfId="0" applyFill="1"/>
    <xf numFmtId="49" fontId="7" fillId="0" borderId="0" xfId="4" applyNumberFormat="1"/>
    <xf numFmtId="0" fontId="4" fillId="0" borderId="0" xfId="0" applyFont="1"/>
    <xf numFmtId="0" fontId="2" fillId="4" borderId="0" xfId="2" applyFill="1" applyProtection="1">
      <protection hidden="1"/>
    </xf>
    <xf numFmtId="0" fontId="2" fillId="2" borderId="0" xfId="2" applyFill="1" applyProtection="1">
      <protection hidden="1"/>
    </xf>
    <xf numFmtId="0" fontId="0" fillId="2" borderId="0" xfId="0" applyFill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right" inden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Alignment="1" applyProtection="1">
      <alignment wrapText="1"/>
      <protection hidden="1"/>
    </xf>
    <xf numFmtId="0" fontId="1" fillId="0" borderId="0" xfId="1"/>
    <xf numFmtId="0" fontId="2" fillId="5" borderId="0" xfId="2" applyFill="1" applyProtection="1">
      <protection hidden="1"/>
    </xf>
    <xf numFmtId="0" fontId="17" fillId="0" borderId="0" xfId="0" applyFont="1"/>
    <xf numFmtId="0" fontId="0" fillId="0" borderId="0" xfId="0" applyAlignment="1">
      <alignment horizontal="center"/>
    </xf>
    <xf numFmtId="0" fontId="14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4"/>
    <xf numFmtId="0" fontId="0" fillId="0" borderId="13" xfId="0" applyBorder="1"/>
    <xf numFmtId="0" fontId="0" fillId="0" borderId="0" xfId="0" applyAlignment="1">
      <alignment horizontal="left" vertical="center"/>
    </xf>
    <xf numFmtId="49" fontId="23" fillId="0" borderId="0" xfId="5" applyNumberFormat="1"/>
    <xf numFmtId="0" fontId="0" fillId="0" borderId="19" xfId="0" applyBorder="1"/>
    <xf numFmtId="0" fontId="0" fillId="0" borderId="20" xfId="0" applyBorder="1"/>
    <xf numFmtId="0" fontId="22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2" fillId="0" borderId="0" xfId="0" applyFont="1"/>
    <xf numFmtId="0" fontId="1" fillId="0" borderId="24" xfId="1" applyFill="1" applyBorder="1" applyProtection="1">
      <protection hidden="1"/>
    </xf>
    <xf numFmtId="0" fontId="1" fillId="0" borderId="0" xfId="1" applyFill="1" applyProtection="1">
      <protection hidden="1"/>
    </xf>
    <xf numFmtId="0" fontId="1" fillId="0" borderId="13" xfId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4" fillId="0" borderId="0" xfId="1" applyFont="1" applyFill="1" applyBorder="1" applyAlignment="1" applyProtection="1">
      <alignment vertical="center"/>
      <protection hidden="1"/>
    </xf>
    <xf numFmtId="0" fontId="0" fillId="0" borderId="36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0" fontId="1" fillId="0" borderId="23" xfId="1" applyBorder="1" applyAlignment="1" applyProtection="1">
      <protection hidden="1"/>
    </xf>
    <xf numFmtId="0" fontId="1" fillId="0" borderId="0" xfId="1" applyBorder="1" applyProtection="1">
      <protection hidden="1"/>
    </xf>
    <xf numFmtId="49" fontId="0" fillId="0" borderId="1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/>
    <xf numFmtId="0" fontId="2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8" fillId="0" borderId="0" xfId="0" applyFont="1" applyProtection="1">
      <protection hidden="1"/>
    </xf>
    <xf numFmtId="0" fontId="0" fillId="0" borderId="42" xfId="0" applyBorder="1"/>
    <xf numFmtId="0" fontId="11" fillId="0" borderId="0" xfId="0" applyFont="1" applyAlignment="1" applyProtection="1">
      <alignment wrapText="1"/>
      <protection hidden="1"/>
    </xf>
    <xf numFmtId="0" fontId="20" fillId="0" borderId="0" xfId="0" applyFont="1" applyProtection="1">
      <protection hidden="1"/>
    </xf>
    <xf numFmtId="0" fontId="0" fillId="0" borderId="54" xfId="0" applyBorder="1"/>
    <xf numFmtId="0" fontId="0" fillId="0" borderId="56" xfId="0" applyBorder="1" applyAlignment="1">
      <alignment horizontal="center"/>
    </xf>
    <xf numFmtId="49" fontId="31" fillId="0" borderId="0" xfId="8" applyNumberFormat="1"/>
    <xf numFmtId="164" fontId="31" fillId="0" borderId="0" xfId="8" applyNumberFormat="1"/>
    <xf numFmtId="165" fontId="31" fillId="0" borderId="0" xfId="8" applyNumberFormat="1"/>
    <xf numFmtId="49" fontId="0" fillId="0" borderId="57" xfId="0" applyNumberFormat="1" applyBorder="1" applyAlignment="1">
      <alignment horizontal="center"/>
    </xf>
    <xf numFmtId="49" fontId="0" fillId="0" borderId="55" xfId="0" applyNumberFormat="1" applyBorder="1"/>
    <xf numFmtId="49" fontId="0" fillId="0" borderId="40" xfId="0" applyNumberFormat="1" applyBorder="1"/>
    <xf numFmtId="49" fontId="0" fillId="0" borderId="41" xfId="0" applyNumberFormat="1" applyBorder="1"/>
    <xf numFmtId="49" fontId="0" fillId="0" borderId="45" xfId="0" applyNumberFormat="1" applyBorder="1"/>
    <xf numFmtId="49" fontId="0" fillId="0" borderId="11" xfId="0" applyNumberFormat="1" applyBorder="1"/>
    <xf numFmtId="49" fontId="0" fillId="0" borderId="46" xfId="0" applyNumberFormat="1" applyBorder="1"/>
    <xf numFmtId="3" fontId="31" fillId="0" borderId="0" xfId="8" applyNumberFormat="1"/>
    <xf numFmtId="167" fontId="31" fillId="0" borderId="0" xfId="8" applyNumberFormat="1"/>
    <xf numFmtId="0" fontId="16" fillId="5" borderId="0" xfId="0" applyFont="1" applyFill="1" applyAlignment="1" applyProtection="1">
      <alignment horizontal="right"/>
      <protection hidden="1"/>
    </xf>
    <xf numFmtId="168" fontId="31" fillId="0" borderId="0" xfId="8" applyNumberFormat="1"/>
    <xf numFmtId="170" fontId="31" fillId="0" borderId="0" xfId="8" applyNumberFormat="1"/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16" fillId="5" borderId="6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Protection="1">
      <protection hidden="1"/>
    </xf>
    <xf numFmtId="0" fontId="16" fillId="5" borderId="7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/>
      <protection hidden="1"/>
    </xf>
    <xf numFmtId="0" fontId="16" fillId="5" borderId="8" xfId="0" applyFont="1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left"/>
      <protection hidden="1"/>
    </xf>
    <xf numFmtId="2" fontId="0" fillId="0" borderId="0" xfId="0" applyNumberFormat="1" applyAlignment="1" applyProtection="1">
      <alignment horizontal="right" inden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43" fontId="0" fillId="0" borderId="0" xfId="9" applyFont="1" applyAlignment="1" applyProtection="1">
      <alignment horizontal="right" vertical="center"/>
      <protection hidden="1"/>
    </xf>
    <xf numFmtId="43" fontId="12" fillId="0" borderId="0" xfId="9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5" fillId="0" borderId="22" xfId="0" applyFont="1" applyBorder="1" applyAlignment="1" applyProtection="1">
      <alignment horizontal="center"/>
      <protection locked="0"/>
    </xf>
    <xf numFmtId="49" fontId="5" fillId="0" borderId="22" xfId="0" applyNumberFormat="1" applyFont="1" applyBorder="1" applyAlignment="1" applyProtection="1">
      <alignment horizontal="center"/>
      <protection locked="0"/>
    </xf>
    <xf numFmtId="49" fontId="5" fillId="7" borderId="22" xfId="0" applyNumberFormat="1" applyFont="1" applyFill="1" applyBorder="1" applyAlignment="1" applyProtection="1">
      <alignment horizont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49" fontId="7" fillId="0" borderId="22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49" fontId="5" fillId="0" borderId="36" xfId="0" applyNumberFormat="1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hidden="1"/>
    </xf>
    <xf numFmtId="43" fontId="12" fillId="0" borderId="2" xfId="9" applyFont="1" applyBorder="1" applyAlignment="1" applyProtection="1">
      <alignment horizontal="left" vertical="center"/>
      <protection hidden="1"/>
    </xf>
    <xf numFmtId="0" fontId="0" fillId="3" borderId="0" xfId="0" applyFill="1" applyProtection="1">
      <protection locked="0" hidden="1"/>
    </xf>
    <xf numFmtId="0" fontId="0" fillId="0" borderId="43" xfId="0" applyBorder="1"/>
    <xf numFmtId="0" fontId="0" fillId="0" borderId="39" xfId="0" applyBorder="1"/>
    <xf numFmtId="0" fontId="0" fillId="0" borderId="25" xfId="0" applyBorder="1" applyAlignment="1">
      <alignment horizontal="center"/>
    </xf>
    <xf numFmtId="49" fontId="0" fillId="0" borderId="59" xfId="0" applyNumberFormat="1" applyBorder="1" applyAlignment="1">
      <alignment horizontal="center"/>
    </xf>
    <xf numFmtId="0" fontId="0" fillId="0" borderId="47" xfId="0" applyBorder="1"/>
    <xf numFmtId="0" fontId="14" fillId="0" borderId="7" xfId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0" fontId="16" fillId="0" borderId="0" xfId="0" applyFont="1" applyAlignment="1" applyProtection="1">
      <alignment horizontal="right"/>
      <protection hidden="1"/>
    </xf>
    <xf numFmtId="169" fontId="0" fillId="0" borderId="0" xfId="0" applyNumberFormat="1" applyAlignment="1" applyProtection="1">
      <alignment horizontal="center"/>
      <protection locked="0" hidden="1"/>
    </xf>
    <xf numFmtId="171" fontId="12" fillId="0" borderId="0" xfId="0" applyNumberFormat="1" applyFont="1" applyAlignment="1" applyProtection="1">
      <alignment horizontal="right" vertical="center"/>
      <protection hidden="1"/>
    </xf>
    <xf numFmtId="169" fontId="12" fillId="3" borderId="58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6" xfId="0" applyFont="1" applyBorder="1" applyAlignment="1" applyProtection="1">
      <alignment vertical="center"/>
      <protection hidden="1"/>
    </xf>
    <xf numFmtId="0" fontId="14" fillId="0" borderId="7" xfId="0" applyFont="1" applyBorder="1" applyAlignment="1" applyProtection="1">
      <alignment vertical="center"/>
      <protection hidden="1"/>
    </xf>
    <xf numFmtId="0" fontId="0" fillId="0" borderId="26" xfId="0" applyBorder="1" applyProtection="1">
      <protection hidden="1"/>
    </xf>
    <xf numFmtId="0" fontId="0" fillId="0" borderId="27" xfId="0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0" fillId="0" borderId="22" xfId="0" applyBorder="1" applyAlignment="1" applyProtection="1">
      <alignment horizont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9" xfId="0" applyBorder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0" fillId="0" borderId="22" xfId="0" applyBorder="1" applyProtection="1">
      <protection hidden="1"/>
    </xf>
    <xf numFmtId="0" fontId="2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6" fillId="0" borderId="9" xfId="0" applyFont="1" applyBorder="1" applyProtection="1"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0" fontId="16" fillId="5" borderId="9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0" fillId="0" borderId="9" xfId="0" applyBorder="1" applyAlignment="1" applyProtection="1">
      <alignment wrapText="1"/>
      <protection hidden="1"/>
    </xf>
    <xf numFmtId="44" fontId="0" fillId="0" borderId="0" xfId="7" applyFont="1" applyFill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right"/>
      <protection hidden="1"/>
    </xf>
    <xf numFmtId="0" fontId="16" fillId="0" borderId="0" xfId="0" applyFont="1" applyAlignment="1" applyProtection="1">
      <alignment vertical="center"/>
      <protection hidden="1"/>
    </xf>
    <xf numFmtId="9" fontId="0" fillId="0" borderId="0" xfId="0" applyNumberFormat="1" applyProtection="1">
      <protection hidden="1"/>
    </xf>
    <xf numFmtId="0" fontId="0" fillId="0" borderId="0" xfId="0" applyAlignment="1" applyProtection="1">
      <alignment textRotation="90"/>
      <protection hidden="1"/>
    </xf>
    <xf numFmtId="0" fontId="0" fillId="0" borderId="0" xfId="0" applyAlignment="1" applyProtection="1">
      <alignment horizontal="center" textRotation="90"/>
      <protection hidden="1"/>
    </xf>
    <xf numFmtId="0" fontId="31" fillId="0" borderId="0" xfId="8"/>
    <xf numFmtId="0" fontId="14" fillId="0" borderId="0" xfId="1" applyFont="1" applyFill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3" fillId="2" borderId="0" xfId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2" borderId="1" xfId="1" applyFont="1" applyFill="1" applyBorder="1" applyAlignment="1" applyProtection="1">
      <alignment horizontal="center" vertical="center"/>
      <protection locked="0" hidden="1"/>
    </xf>
    <xf numFmtId="0" fontId="14" fillId="2" borderId="0" xfId="1" applyFont="1" applyFill="1" applyBorder="1" applyAlignment="1" applyProtection="1">
      <alignment horizontal="center" vertic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right"/>
      <protection hidden="1"/>
    </xf>
    <xf numFmtId="0" fontId="16" fillId="5" borderId="0" xfId="0" applyFont="1" applyFill="1" applyAlignment="1" applyProtection="1">
      <alignment horizontal="right" wrapText="1"/>
      <protection hidden="1"/>
    </xf>
    <xf numFmtId="0" fontId="0" fillId="6" borderId="0" xfId="0" applyFill="1" applyAlignment="1" applyProtection="1">
      <alignment horizontal="center"/>
      <protection locked="0" hidden="1"/>
    </xf>
    <xf numFmtId="0" fontId="0" fillId="6" borderId="0" xfId="0" applyFill="1" applyAlignment="1" applyProtection="1">
      <alignment horizontal="center" wrapText="1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2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center" vertical="center"/>
    </xf>
    <xf numFmtId="0" fontId="14" fillId="5" borderId="0" xfId="1" applyFont="1" applyFill="1" applyAlignment="1" applyProtection="1">
      <alignment horizontal="center" vertical="center"/>
      <protection hidden="1"/>
    </xf>
    <xf numFmtId="0" fontId="14" fillId="5" borderId="0" xfId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 hidden="1"/>
    </xf>
    <xf numFmtId="0" fontId="16" fillId="0" borderId="0" xfId="0" applyFont="1" applyAlignment="1" applyProtection="1">
      <alignment horizontal="right" vertical="center"/>
      <protection hidden="1"/>
    </xf>
    <xf numFmtId="0" fontId="28" fillId="5" borderId="0" xfId="2" applyFont="1" applyFill="1" applyAlignment="1" applyProtection="1">
      <alignment horizontal="center" vertical="center"/>
      <protection hidden="1"/>
    </xf>
    <xf numFmtId="0" fontId="28" fillId="5" borderId="5" xfId="2" applyFont="1" applyFill="1" applyBorder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/>
      <protection hidden="1"/>
    </xf>
    <xf numFmtId="0" fontId="20" fillId="0" borderId="26" xfId="0" applyFont="1" applyBorder="1" applyAlignment="1" applyProtection="1">
      <alignment horizontal="center"/>
      <protection hidden="1"/>
    </xf>
    <xf numFmtId="0" fontId="20" fillId="0" borderId="27" xfId="0" applyFont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44" fontId="0" fillId="6" borderId="0" xfId="7" applyFont="1" applyFill="1" applyBorder="1" applyAlignment="1" applyProtection="1">
      <alignment horizontal="center"/>
      <protection locked="0" hidden="1"/>
    </xf>
    <xf numFmtId="0" fontId="25" fillId="5" borderId="9" xfId="0" applyFont="1" applyFill="1" applyBorder="1" applyAlignment="1" applyProtection="1">
      <alignment horizontal="right" vertical="center"/>
      <protection hidden="1"/>
    </xf>
    <xf numFmtId="0" fontId="25" fillId="5" borderId="0" xfId="0" applyFont="1" applyFill="1" applyAlignment="1" applyProtection="1">
      <alignment horizontal="right" vertical="center"/>
      <protection hidden="1"/>
    </xf>
    <xf numFmtId="0" fontId="16" fillId="5" borderId="9" xfId="0" applyFont="1" applyFill="1" applyBorder="1" applyAlignment="1" applyProtection="1">
      <alignment horizontal="right"/>
      <protection hidden="1"/>
    </xf>
    <xf numFmtId="0" fontId="16" fillId="5" borderId="9" xfId="0" applyFont="1" applyFill="1" applyBorder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4" fillId="5" borderId="1" xfId="1" applyFont="1" applyFill="1" applyBorder="1" applyAlignment="1" applyProtection="1">
      <alignment horizontal="center" vertical="center"/>
      <protection locked="0" hidden="1"/>
    </xf>
    <xf numFmtId="0" fontId="14" fillId="5" borderId="0" xfId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Border="1" applyAlignment="1" applyProtection="1">
      <alignment horizontal="center"/>
      <protection hidden="1"/>
    </xf>
    <xf numFmtId="0" fontId="20" fillId="0" borderId="17" xfId="0" applyFont="1" applyBorder="1" applyAlignment="1" applyProtection="1">
      <alignment horizontal="center"/>
      <protection hidden="1"/>
    </xf>
    <xf numFmtId="0" fontId="20" fillId="0" borderId="29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/>
      <protection hidden="1"/>
    </xf>
    <xf numFmtId="0" fontId="20" fillId="0" borderId="39" xfId="0" applyFont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right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166" fontId="0" fillId="0" borderId="0" xfId="0" applyNumberFormat="1" applyAlignment="1" applyProtection="1">
      <alignment horizontal="center"/>
      <protection locked="0" hidden="1"/>
    </xf>
    <xf numFmtId="0" fontId="18" fillId="0" borderId="0" xfId="0" applyFont="1" applyAlignment="1" applyProtection="1">
      <alignment horizontal="center"/>
      <protection locked="0"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0" fillId="0" borderId="19" xfId="7" applyNumberFormat="1" applyFont="1" applyFill="1" applyBorder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left"/>
      <protection locked="0" hidden="1"/>
    </xf>
    <xf numFmtId="0" fontId="20" fillId="0" borderId="18" xfId="0" applyFont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left" vertical="center"/>
      <protection locked="0" hidden="1"/>
    </xf>
    <xf numFmtId="166" fontId="0" fillId="6" borderId="0" xfId="0" applyNumberFormat="1" applyFill="1" applyAlignment="1" applyProtection="1">
      <alignment horizontal="center"/>
      <protection locked="0" hidden="1"/>
    </xf>
    <xf numFmtId="0" fontId="25" fillId="5" borderId="9" xfId="0" applyFont="1" applyFill="1" applyBorder="1" applyAlignment="1" applyProtection="1">
      <alignment horizontal="right" vertical="center" wrapText="1"/>
      <protection hidden="1"/>
    </xf>
    <xf numFmtId="0" fontId="25" fillId="5" borderId="0" xfId="0" applyFont="1" applyFill="1" applyAlignment="1" applyProtection="1">
      <alignment horizontal="right" vertical="center" wrapText="1"/>
      <protection hidden="1"/>
    </xf>
    <xf numFmtId="0" fontId="0" fillId="0" borderId="9" xfId="0" applyBorder="1" applyAlignment="1" applyProtection="1">
      <alignment horizontal="center" wrapText="1"/>
      <protection hidden="1"/>
    </xf>
    <xf numFmtId="0" fontId="0" fillId="6" borderId="0" xfId="0" applyFill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6" fillId="0" borderId="0" xfId="7" applyNumberFormat="1" applyFont="1" applyAlignment="1" applyProtection="1">
      <alignment horizontal="center"/>
      <protection hidden="1"/>
    </xf>
    <xf numFmtId="0" fontId="14" fillId="0" borderId="0" xfId="1" applyFont="1" applyFill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right" vertical="center"/>
      <protection hidden="1"/>
    </xf>
    <xf numFmtId="0" fontId="3" fillId="5" borderId="0" xfId="0" applyFont="1" applyFill="1" applyAlignment="1" applyProtection="1">
      <alignment horizontal="right" vertical="center"/>
      <protection hidden="1"/>
    </xf>
    <xf numFmtId="0" fontId="0" fillId="6" borderId="0" xfId="0" applyFill="1" applyAlignment="1" applyProtection="1">
      <alignment horizontal="center" vertical="center"/>
      <protection locked="0" hidden="1"/>
    </xf>
    <xf numFmtId="0" fontId="3" fillId="0" borderId="0" xfId="1" applyFont="1" applyFill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locked="0" hidden="1"/>
    </xf>
    <xf numFmtId="0" fontId="0" fillId="0" borderId="19" xfId="0" applyBorder="1" applyAlignment="1" applyProtection="1">
      <alignment horizontal="center"/>
      <protection locked="0" hidden="1"/>
    </xf>
    <xf numFmtId="0" fontId="0" fillId="0" borderId="21" xfId="0" applyBorder="1" applyAlignment="1" applyProtection="1">
      <alignment horizontal="center"/>
      <protection locked="0" hidden="1"/>
    </xf>
    <xf numFmtId="0" fontId="0" fillId="0" borderId="24" xfId="0" applyBorder="1" applyAlignment="1" applyProtection="1">
      <alignment horizontal="center"/>
      <protection locked="0" hidden="1"/>
    </xf>
    <xf numFmtId="0" fontId="0" fillId="0" borderId="15" xfId="0" applyBorder="1" applyAlignment="1" applyProtection="1">
      <alignment horizontal="center"/>
      <protection locked="0" hidden="1"/>
    </xf>
    <xf numFmtId="0" fontId="0" fillId="0" borderId="23" xfId="0" applyBorder="1" applyAlignment="1" applyProtection="1">
      <alignment horizontal="center"/>
      <protection locked="0" hidden="1"/>
    </xf>
    <xf numFmtId="0" fontId="0" fillId="0" borderId="13" xfId="0" applyBorder="1" applyAlignment="1" applyProtection="1">
      <alignment horizontal="center"/>
      <protection locked="0" hidden="1"/>
    </xf>
    <xf numFmtId="0" fontId="0" fillId="0" borderId="14" xfId="0" applyBorder="1" applyAlignment="1" applyProtection="1">
      <alignment horizontal="center"/>
      <protection locked="0" hidden="1"/>
    </xf>
    <xf numFmtId="0" fontId="26" fillId="0" borderId="0" xfId="0" applyFont="1" applyAlignment="1" applyProtection="1">
      <alignment horizontal="left" vertical="center"/>
      <protection locked="0" hidden="1"/>
    </xf>
    <xf numFmtId="0" fontId="16" fillId="0" borderId="0" xfId="0" applyFont="1" applyAlignment="1" applyProtection="1">
      <alignment horizontal="right"/>
      <protection hidden="1"/>
    </xf>
    <xf numFmtId="0" fontId="16" fillId="0" borderId="9" xfId="0" applyFont="1" applyBorder="1" applyAlignment="1" applyProtection="1">
      <alignment horizontal="right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0" fillId="0" borderId="4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6" xfId="0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8" xfId="0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0" fillId="0" borderId="44" xfId="0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0" borderId="4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 wrapText="1"/>
    </xf>
    <xf numFmtId="0" fontId="0" fillId="0" borderId="47" xfId="0" applyBorder="1" applyAlignment="1">
      <alignment horizontal="center" textRotation="90" wrapText="1"/>
    </xf>
    <xf numFmtId="0" fontId="0" fillId="0" borderId="2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/>
    </xf>
    <xf numFmtId="0" fontId="0" fillId="0" borderId="22" xfId="0" applyBorder="1" applyAlignment="1">
      <alignment horizontal="center" textRotation="90"/>
    </xf>
    <xf numFmtId="0" fontId="0" fillId="0" borderId="50" xfId="0" applyBorder="1" applyAlignment="1">
      <alignment horizontal="center" textRotation="90" wrapText="1"/>
    </xf>
    <xf numFmtId="0" fontId="0" fillId="0" borderId="51" xfId="0" applyBorder="1" applyAlignment="1">
      <alignment horizontal="center" textRotation="90" wrapText="1"/>
    </xf>
    <xf numFmtId="0" fontId="0" fillId="0" borderId="52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/>
    </xf>
    <xf numFmtId="0" fontId="0" fillId="0" borderId="16" xfId="0" applyBorder="1" applyAlignment="1">
      <alignment horizontal="center" textRotation="90"/>
    </xf>
    <xf numFmtId="0" fontId="0" fillId="0" borderId="53" xfId="0" applyBorder="1" applyAlignment="1">
      <alignment horizontal="center" textRotation="90"/>
    </xf>
    <xf numFmtId="0" fontId="0" fillId="0" borderId="24" xfId="0" applyBorder="1" applyAlignment="1">
      <alignment horizontal="center" textRotation="90"/>
    </xf>
    <xf numFmtId="0" fontId="0" fillId="0" borderId="23" xfId="0" applyBorder="1" applyAlignment="1">
      <alignment horizontal="center" textRotation="90"/>
    </xf>
    <xf numFmtId="0" fontId="0" fillId="6" borderId="0" xfId="0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14" fillId="5" borderId="0" xfId="0" applyFont="1" applyFill="1" applyAlignment="1" applyProtection="1">
      <alignment horizontal="right" vertical="center"/>
      <protection hidden="1"/>
    </xf>
    <xf numFmtId="0" fontId="14" fillId="5" borderId="6" xfId="1" applyFont="1" applyFill="1" applyBorder="1" applyAlignment="1" applyProtection="1">
      <alignment horizontal="center" vertical="center"/>
      <protection hidden="1"/>
    </xf>
    <xf numFmtId="0" fontId="14" fillId="5" borderId="7" xfId="1" applyFont="1" applyFill="1" applyBorder="1" applyAlignment="1" applyProtection="1">
      <alignment horizontal="center" vertical="center"/>
      <protection hidden="1"/>
    </xf>
    <xf numFmtId="0" fontId="14" fillId="5" borderId="9" xfId="1" applyFont="1" applyFill="1" applyBorder="1" applyAlignment="1" applyProtection="1">
      <alignment horizontal="center" vertical="center"/>
      <protection hidden="1"/>
    </xf>
    <xf numFmtId="0" fontId="14" fillId="5" borderId="9" xfId="0" applyFont="1" applyFill="1" applyBorder="1" applyAlignment="1" applyProtection="1">
      <alignment horizontal="right" vertical="center"/>
      <protection hidden="1"/>
    </xf>
    <xf numFmtId="0" fontId="14" fillId="5" borderId="1" xfId="1" applyFont="1" applyFill="1" applyBorder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/>
      <protection hidden="1"/>
    </xf>
    <xf numFmtId="0" fontId="0" fillId="6" borderId="2" xfId="0" applyFill="1" applyBorder="1" applyAlignment="1" applyProtection="1">
      <alignment horizontal="left"/>
      <protection hidden="1"/>
    </xf>
    <xf numFmtId="0" fontId="33" fillId="5" borderId="0" xfId="2" applyFont="1" applyFill="1" applyAlignment="1" applyProtection="1">
      <alignment horizontal="center" vertical="center"/>
      <protection hidden="1"/>
    </xf>
    <xf numFmtId="0" fontId="33" fillId="5" borderId="5" xfId="2" applyFont="1" applyFill="1" applyBorder="1" applyAlignment="1" applyProtection="1">
      <alignment horizontal="center" vertical="center"/>
      <protection hidden="1"/>
    </xf>
    <xf numFmtId="0" fontId="19" fillId="5" borderId="9" xfId="0" applyFont="1" applyFill="1" applyBorder="1" applyAlignment="1" applyProtection="1">
      <alignment horizontal="right"/>
      <protection hidden="1"/>
    </xf>
    <xf numFmtId="0" fontId="19" fillId="5" borderId="0" xfId="0" applyFont="1" applyFill="1" applyAlignment="1" applyProtection="1">
      <alignment horizontal="right"/>
      <protection hidden="1"/>
    </xf>
    <xf numFmtId="0" fontId="34" fillId="5" borderId="6" xfId="1" applyFont="1" applyFill="1" applyBorder="1" applyAlignment="1" applyProtection="1">
      <alignment horizontal="center" vertical="center"/>
      <protection hidden="1"/>
    </xf>
    <xf numFmtId="0" fontId="34" fillId="5" borderId="7" xfId="1" applyFont="1" applyFill="1" applyBorder="1" applyAlignment="1" applyProtection="1">
      <alignment horizontal="center" vertical="center"/>
      <protection hidden="1"/>
    </xf>
    <xf numFmtId="0" fontId="34" fillId="5" borderId="9" xfId="1" applyFont="1" applyFill="1" applyBorder="1" applyAlignment="1" applyProtection="1">
      <alignment horizontal="center" vertical="center"/>
      <protection hidden="1"/>
    </xf>
    <xf numFmtId="0" fontId="34" fillId="5" borderId="0" xfId="1" applyFont="1" applyFill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center"/>
      <protection hidden="1"/>
    </xf>
    <xf numFmtId="0" fontId="1" fillId="0" borderId="0" xfId="1" applyFill="1" applyBorder="1" applyAlignment="1" applyProtection="1">
      <alignment horizontal="center"/>
      <protection hidden="1"/>
    </xf>
    <xf numFmtId="0" fontId="1" fillId="0" borderId="15" xfId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0" fontId="1" fillId="0" borderId="20" xfId="1" applyFill="1" applyBorder="1" applyAlignment="1" applyProtection="1">
      <alignment horizontal="left"/>
      <protection hidden="1"/>
    </xf>
    <xf numFmtId="0" fontId="1" fillId="0" borderId="19" xfId="1" applyFill="1" applyBorder="1" applyAlignment="1" applyProtection="1">
      <alignment horizontal="left"/>
      <protection hidden="1"/>
    </xf>
    <xf numFmtId="0" fontId="1" fillId="0" borderId="21" xfId="1" applyFill="1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left"/>
      <protection hidden="1"/>
    </xf>
    <xf numFmtId="0" fontId="1" fillId="0" borderId="0" xfId="1" applyFill="1" applyBorder="1" applyAlignment="1" applyProtection="1">
      <alignment horizontal="left"/>
      <protection hidden="1"/>
    </xf>
    <xf numFmtId="0" fontId="1" fillId="0" borderId="15" xfId="1" applyFill="1" applyBorder="1" applyAlignment="1" applyProtection="1">
      <alignment horizontal="left"/>
      <protection hidden="1"/>
    </xf>
    <xf numFmtId="0" fontId="1" fillId="0" borderId="23" xfId="1" applyFill="1" applyBorder="1" applyAlignment="1" applyProtection="1">
      <alignment horizontal="left"/>
      <protection hidden="1"/>
    </xf>
    <xf numFmtId="0" fontId="1" fillId="0" borderId="13" xfId="1" applyFill="1" applyBorder="1" applyAlignment="1" applyProtection="1">
      <alignment horizontal="left"/>
      <protection hidden="1"/>
    </xf>
    <xf numFmtId="0" fontId="1" fillId="0" borderId="14" xfId="1" applyFill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left" vertical="top" wrapText="1"/>
      <protection hidden="1"/>
    </xf>
    <xf numFmtId="0" fontId="0" fillId="0" borderId="2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14" xfId="0" applyBorder="1" applyAlignment="1" applyProtection="1">
      <alignment horizontal="left" vertical="top" wrapText="1"/>
      <protection hidden="1"/>
    </xf>
    <xf numFmtId="0" fontId="34" fillId="5" borderId="0" xfId="1" applyFont="1" applyFill="1" applyAlignment="1" applyProtection="1">
      <alignment horizontal="center" vertical="center"/>
      <protection hidden="1"/>
    </xf>
    <xf numFmtId="0" fontId="1" fillId="0" borderId="23" xfId="1" applyFill="1" applyBorder="1" applyAlignment="1" applyProtection="1">
      <alignment horizontal="center"/>
      <protection hidden="1"/>
    </xf>
    <xf numFmtId="0" fontId="1" fillId="0" borderId="13" xfId="1" applyFill="1" applyBorder="1" applyAlignment="1" applyProtection="1">
      <alignment horizontal="center"/>
      <protection hidden="1"/>
    </xf>
    <xf numFmtId="0" fontId="1" fillId="0" borderId="14" xfId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0" fontId="15" fillId="5" borderId="0" xfId="2" applyFont="1" applyFill="1" applyAlignment="1" applyProtection="1">
      <alignment horizontal="center" vertical="center"/>
      <protection hidden="1"/>
    </xf>
    <xf numFmtId="0" fontId="15" fillId="5" borderId="5" xfId="2" applyFont="1" applyFill="1" applyBorder="1" applyAlignment="1" applyProtection="1">
      <alignment horizontal="center" vertical="center"/>
      <protection hidden="1"/>
    </xf>
  </cellXfs>
  <cellStyles count="10">
    <cellStyle name="Čárka" xfId="9" builtinId="3"/>
    <cellStyle name="Hypertextový odkaz" xfId="1" builtinId="8"/>
    <cellStyle name="Hypertextový odkaz 2" xfId="3" xr:uid="{70BD1C7B-6059-43E8-BB06-D4D53495D14F}"/>
    <cellStyle name="Měna" xfId="7" builtinId="4"/>
    <cellStyle name="Normální" xfId="0" builtinId="0"/>
    <cellStyle name="Normální 13" xfId="2" xr:uid="{BF3E3F5B-E520-4F2E-82B9-85AC43219962}"/>
    <cellStyle name="Normální 2" xfId="4" xr:uid="{6950DC2D-B687-4A82-A5D2-8B35E914CDD9}"/>
    <cellStyle name="Normální 2 2" xfId="6" xr:uid="{568FC237-A2B6-4EE9-9B18-FD79D86262F9}"/>
    <cellStyle name="Normální 2 3" xfId="5" xr:uid="{66E14361-61B6-4063-92BA-B54B7CA0B77A}"/>
    <cellStyle name="Normální 2 4" xfId="8" xr:uid="{3AB579E8-9AD3-48D5-9326-B753BB1B9CE5}"/>
  </cellStyles>
  <dxfs count="2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W$2" lockText="1" noThreeD="1"/>
</file>

<file path=xl/ctrlProps/ctrlProp2.xml><?xml version="1.0" encoding="utf-8"?>
<formControlPr xmlns="http://schemas.microsoft.com/office/spreadsheetml/2009/9/main" objectType="CheckBox" fmlaLink="#REF!"/>
</file>

<file path=xl/ctrlProps/ctrlProp3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21" Type="http://schemas.openxmlformats.org/officeDocument/2006/relationships/image" Target="../media/image37.jpeg"/><Relationship Id="rId7" Type="http://schemas.openxmlformats.org/officeDocument/2006/relationships/image" Target="../media/image23.png"/><Relationship Id="rId12" Type="http://schemas.openxmlformats.org/officeDocument/2006/relationships/image" Target="../media/image28.jpe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image" Target="../media/image1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8A3B927-7D2B-4047-901B-15A5A1F8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4777</xdr:colOff>
      <xdr:row>3</xdr:row>
      <xdr:rowOff>9525</xdr:rowOff>
    </xdr:from>
    <xdr:to>
      <xdr:col>12</xdr:col>
      <xdr:colOff>419099</xdr:colOff>
      <xdr:row>25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DEC178-A5B6-1F6F-139A-A0BCBC378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5802" y="723900"/>
          <a:ext cx="4691047" cy="493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4</xdr:col>
      <xdr:colOff>123826</xdr:colOff>
      <xdr:row>3</xdr:row>
      <xdr:rowOff>112532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4BB2C9-1815-4103-B06B-BE344215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6</xdr:row>
      <xdr:rowOff>99060</xdr:rowOff>
    </xdr:from>
    <xdr:to>
      <xdr:col>1</xdr:col>
      <xdr:colOff>369720</xdr:colOff>
      <xdr:row>8</xdr:row>
      <xdr:rowOff>42060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1FA05D-21C0-4939-8DF9-61DD3FEE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2344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29</xdr:row>
          <xdr:rowOff>57150</xdr:rowOff>
        </xdr:from>
        <xdr:to>
          <xdr:col>15</xdr:col>
          <xdr:colOff>523875</xdr:colOff>
          <xdr:row>30</xdr:row>
          <xdr:rowOff>123825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4DB4AE-8ED8-42DD-8AD5-6867BBD2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1" y="180975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01C5DEB-DEDE-FFBE-B42B-BAED5B3A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3825" y="2305050"/>
          <a:ext cx="1587086" cy="1301296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DD9DCF4-5485-9271-FE5A-CBF5E55A9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29775" y="2305050"/>
          <a:ext cx="1566129" cy="1301296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8811FDF-1326-B14A-D731-468EE4667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43851" y="5638800"/>
          <a:ext cx="1247802" cy="1209675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057678C-DE3C-C1FB-F65A-300C9A82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58350" y="5629275"/>
          <a:ext cx="1320348" cy="1238423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F0DC6A5-B30C-A488-E4F0-1C6129FE7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39075" y="7038975"/>
          <a:ext cx="3467584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DFB9629-7AA7-2B3D-D2F2-32CF42AD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515850" y="2362200"/>
          <a:ext cx="1505160" cy="1228896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F3227FA-A1FA-FAD2-1A0B-540D65EC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73000" y="5657850"/>
          <a:ext cx="1434663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6FBBD8D-2AEA-2591-E7C7-C4D1F3DC0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734801" y="6972300"/>
          <a:ext cx="3387089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168292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4B08A9D-6DD7-ADBE-BDD9-775D22CF4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767458" y="3820886"/>
          <a:ext cx="3284505" cy="1238357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205923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3AFB5D40-19E3-4858-A0DC-2F3281BD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58125" y="3638550"/>
          <a:ext cx="3467584" cy="1320348"/>
        </a:xfrm>
        <a:prstGeom prst="rect">
          <a:avLst/>
        </a:prstGeom>
      </xdr:spPr>
    </xdr:pic>
    <xdr:clientData/>
  </xdr:twoCellAnchor>
  <xdr:twoCellAnchor editAs="oneCell">
    <xdr:from>
      <xdr:col>1</xdr:col>
      <xdr:colOff>79059</xdr:colOff>
      <xdr:row>117</xdr:row>
      <xdr:rowOff>20479</xdr:rowOff>
    </xdr:from>
    <xdr:to>
      <xdr:col>1</xdr:col>
      <xdr:colOff>440663</xdr:colOff>
      <xdr:row>118</xdr:row>
      <xdr:rowOff>133168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2DA05DE-5B27-4012-92CA-15FAE21C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4" y="22089904"/>
          <a:ext cx="365414" cy="326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FB0BA00-6883-7B42-F6E2-94759CEA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57925" y="16011525"/>
          <a:ext cx="3724795" cy="123842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FFED897A-18F9-1CA9-6452-B20BF797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39400" y="16021050"/>
          <a:ext cx="3724795" cy="121937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33A13630-3EB7-0E12-7CDC-6AF001FE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7735550"/>
          <a:ext cx="4010025" cy="1324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691515</xdr:colOff>
      <xdr:row>153</xdr:row>
      <xdr:rowOff>95250</xdr:rowOff>
    </xdr:from>
    <xdr:to>
      <xdr:col>5</xdr:col>
      <xdr:colOff>206699</xdr:colOff>
      <xdr:row>183</xdr:row>
      <xdr:rowOff>56036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0955ED-1153-D6E2-58E9-543C8345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" y="24050625"/>
          <a:ext cx="7024694" cy="5399561"/>
        </a:xfrm>
        <a:prstGeom prst="rect">
          <a:avLst/>
        </a:prstGeom>
      </xdr:spPr>
    </xdr:pic>
    <xdr:clientData/>
  </xdr:twoCellAnchor>
  <xdr:twoCellAnchor editAs="oneCell">
    <xdr:from>
      <xdr:col>10</xdr:col>
      <xdr:colOff>674370</xdr:colOff>
      <xdr:row>150</xdr:row>
      <xdr:rowOff>139065</xdr:rowOff>
    </xdr:from>
    <xdr:to>
      <xdr:col>19</xdr:col>
      <xdr:colOff>38859</xdr:colOff>
      <xdr:row>173</xdr:row>
      <xdr:rowOff>135865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94FB2B-27C7-9E03-648B-6B5AF8D2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90020" y="23551515"/>
          <a:ext cx="5508114" cy="4163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475803</xdr:colOff>
      <xdr:row>3</xdr:row>
      <xdr:rowOff>57287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6847661-39B3-44CE-95FC-E392627D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0313978-ED93-4A0C-BB36-26E98A9D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10D37A-CAC3-46C4-B737-A15E7811A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209578</xdr:colOff>
      <xdr:row>35</xdr:row>
      <xdr:rowOff>133350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7A5C51A-8536-4735-A167-1C06D71E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8792632-8AF3-4D76-94E3-6872FBD9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476462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5227E91-C74F-4CBD-A2AC-F6B46FF8E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19261</xdr:colOff>
      <xdr:row>18</xdr:row>
      <xdr:rowOff>171621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B0A4F4E-8ED8-4762-A4D0-A71B006C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19248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60CA7C2-9022-4373-8780-647F9A0C2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209549</xdr:colOff>
      <xdr:row>52</xdr:row>
      <xdr:rowOff>133907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B8A0F86-DD8C-4E51-8D3B-48C5CB9E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172102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0D44F34-B43F-48DA-83DF-DC4A419B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209733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B8151BBA-CCA3-4028-8014-36E8EFF2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16669</xdr:rowOff>
    </xdr:from>
    <xdr:to>
      <xdr:col>1</xdr:col>
      <xdr:colOff>476858</xdr:colOff>
      <xdr:row>118</xdr:row>
      <xdr:rowOff>136978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F4D064D-456E-4D74-89FE-EF82E05F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6132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130348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4BDB11-ED69-4A54-AF7E-0C727331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473595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40D520D-7298-43C5-8D29-76CDB35B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439C8A49-A851-4EA2-B1D9-EFF23CD3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51284B9-B93F-41F7-96C5-05E2AA9F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846C1B-FD5C-4F67-B577-41B86D55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B13B822-1039-490E-857B-E1D3A9A1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73FB17F-E03F-42E6-8B6B-10C30098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715DDFF-08B7-4D12-BD30-C3F7A260A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15E612D-B0EB-4598-BD53-66B681A4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608BBD0-7440-407C-8A71-5B0B577C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B21D30F-F562-4E8F-8396-501A4F184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3B89444-9EF5-4C7E-A4B9-DBAA9A799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168292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7527427-D4AB-4354-BFF8-FF153D84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205923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9DB7E949-7C14-46F4-92D0-E5CE6985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86679</xdr:colOff>
      <xdr:row>117</xdr:row>
      <xdr:rowOff>47149</xdr:rowOff>
    </xdr:from>
    <xdr:to>
      <xdr:col>1</xdr:col>
      <xdr:colOff>440663</xdr:colOff>
      <xdr:row>118</xdr:row>
      <xdr:rowOff>171268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5F95D04-FC61-4CF4-A5D7-0483F8E2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9" y="2206894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59B0E99-062E-45F4-AE30-E8DD04FC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AFBB293-7B49-4C6A-9952-6F9F264DC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7803521C-C636-4CB9-9026-905E32B1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F89109-FEC9-44A2-BC96-F3AE7B0C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56A5D6-1AC9-4AC4-927C-AAB00FA1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617DA77-8C8D-4E8F-A74F-2C60BF7F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1B80947-4E32-4708-90D2-2F5AD003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BCBAF13-7642-4A0E-B09A-9B060478B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C011978-52B2-4CC8-8593-927376E8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BC25BE0-7FDB-4C5B-83AB-C07E7369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BE7B245-48C1-4B47-99B8-47159960E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C99BD44-3B0F-45E8-97DE-6968BE269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168292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450CAC8-2848-44BA-A33B-9C44281D1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205923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3CC4477-00A1-4489-BE52-8298D2A8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1429</xdr:rowOff>
    </xdr:from>
    <xdr:to>
      <xdr:col>1</xdr:col>
      <xdr:colOff>474953</xdr:colOff>
      <xdr:row>118</xdr:row>
      <xdr:rowOff>136978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8C8F53-D544-48FB-8692-27EA6DDB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46089"/>
          <a:ext cx="36731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C86D395-AD4A-4B7E-88C0-21387D47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995FD478-2AEE-4EF7-B7F1-A0D05057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AFAA7B72-AF28-4117-A8B3-3DA8379B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13313" name="Check Box 196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822725</xdr:colOff>
      <xdr:row>3</xdr:row>
      <xdr:rowOff>135392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433757F-4BDC-47E6-84A3-E7D8FE3A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6" y="180975"/>
          <a:ext cx="1725482" cy="52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11265" name="Check Box 196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D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513903</xdr:colOff>
      <xdr:row>3</xdr:row>
      <xdr:rowOff>133487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FED1592-0D5B-4EB6-8920-3D05DAFB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6" y="180975"/>
          <a:ext cx="1725482" cy="43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12</xdr:row>
      <xdr:rowOff>161926</xdr:rowOff>
    </xdr:from>
    <xdr:to>
      <xdr:col>4</xdr:col>
      <xdr:colOff>510540</xdr:colOff>
      <xdr:row>19</xdr:row>
      <xdr:rowOff>132306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D9765B-8885-BAA4-7BFF-755B5302B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2457451"/>
          <a:ext cx="2171700" cy="130769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</xdr:row>
      <xdr:rowOff>9526</xdr:rowOff>
    </xdr:from>
    <xdr:to>
      <xdr:col>11</xdr:col>
      <xdr:colOff>401955</xdr:colOff>
      <xdr:row>19</xdr:row>
      <xdr:rowOff>111316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15C5EB-FC7A-DD5E-670D-E6791EF1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67175" y="2295526"/>
          <a:ext cx="2733675" cy="143529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85726</xdr:colOff>
      <xdr:row>12</xdr:row>
      <xdr:rowOff>152401</xdr:rowOff>
    </xdr:from>
    <xdr:to>
      <xdr:col>17</xdr:col>
      <xdr:colOff>20955</xdr:colOff>
      <xdr:row>19</xdr:row>
      <xdr:rowOff>136017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F86B56A-6625-4920-36C1-76F01FDF1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6201" y="2438401"/>
          <a:ext cx="2381249" cy="1328546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</xdr:colOff>
      <xdr:row>13</xdr:row>
      <xdr:rowOff>47626</xdr:rowOff>
    </xdr:from>
    <xdr:to>
      <xdr:col>23</xdr:col>
      <xdr:colOff>478155</xdr:colOff>
      <xdr:row>19</xdr:row>
      <xdr:rowOff>92776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CDAAFA4-0032-2C90-E04E-532397B4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25225" y="2533651"/>
          <a:ext cx="2867025" cy="119196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24</xdr:row>
      <xdr:rowOff>114301</xdr:rowOff>
    </xdr:from>
    <xdr:to>
      <xdr:col>15</xdr:col>
      <xdr:colOff>513547</xdr:colOff>
      <xdr:row>26</xdr:row>
      <xdr:rowOff>190501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AEB2B04-24FB-1761-10DB-D1D48A46E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15050" y="4800601"/>
          <a:ext cx="3224362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32</xdr:row>
      <xdr:rowOff>66675</xdr:rowOff>
    </xdr:from>
    <xdr:to>
      <xdr:col>15</xdr:col>
      <xdr:colOff>516255</xdr:colOff>
      <xdr:row>34</xdr:row>
      <xdr:rowOff>284374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3A7CADE-3995-9786-EFDB-59012F226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15025" y="6486525"/>
          <a:ext cx="3438525" cy="913024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43</xdr:row>
      <xdr:rowOff>76201</xdr:rowOff>
    </xdr:from>
    <xdr:to>
      <xdr:col>5</xdr:col>
      <xdr:colOff>342900</xdr:colOff>
      <xdr:row>50</xdr:row>
      <xdr:rowOff>132684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3E83854-82CE-3AA5-40F6-7107109B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" y="9048751"/>
          <a:ext cx="2390775" cy="1393793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41</xdr:row>
      <xdr:rowOff>179859</xdr:rowOff>
    </xdr:from>
    <xdr:to>
      <xdr:col>11</xdr:col>
      <xdr:colOff>247650</xdr:colOff>
      <xdr:row>49</xdr:row>
      <xdr:rowOff>134215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F0276239-4FEF-A18D-E82D-C7D7C9AB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0051" y="8685684"/>
          <a:ext cx="2419349" cy="1465021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40</xdr:row>
      <xdr:rowOff>0</xdr:rowOff>
    </xdr:from>
    <xdr:to>
      <xdr:col>17</xdr:col>
      <xdr:colOff>18880</xdr:colOff>
      <xdr:row>48</xdr:row>
      <xdr:rowOff>99059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E6F6C919-8A3F-EF65-15CA-61086316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05775" y="8315325"/>
          <a:ext cx="1975315" cy="1619249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40</xdr:row>
      <xdr:rowOff>28574</xdr:rowOff>
    </xdr:from>
    <xdr:to>
      <xdr:col>22</xdr:col>
      <xdr:colOff>588644</xdr:colOff>
      <xdr:row>51</xdr:row>
      <xdr:rowOff>20589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8D12205-2504-4F7C-2D09-BE938D8C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68100" y="8429624"/>
          <a:ext cx="2209799" cy="20741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63</xdr:row>
      <xdr:rowOff>85726</xdr:rowOff>
    </xdr:from>
    <xdr:to>
      <xdr:col>3</xdr:col>
      <xdr:colOff>361950</xdr:colOff>
      <xdr:row>70</xdr:row>
      <xdr:rowOff>91440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F4FF0C11-AAC1-A0F5-B8F6-19FA371E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4182726"/>
          <a:ext cx="1343024" cy="134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533401</xdr:colOff>
      <xdr:row>65</xdr:row>
      <xdr:rowOff>9525</xdr:rowOff>
    </xdr:from>
    <xdr:to>
      <xdr:col>5</xdr:col>
      <xdr:colOff>472440</xdr:colOff>
      <xdr:row>69</xdr:row>
      <xdr:rowOff>94867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C3627756-CFB9-0198-AA06-1BF8F0A5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47876" y="13087350"/>
          <a:ext cx="1162049" cy="860677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64</xdr:row>
      <xdr:rowOff>57150</xdr:rowOff>
    </xdr:from>
    <xdr:to>
      <xdr:col>19</xdr:col>
      <xdr:colOff>286267</xdr:colOff>
      <xdr:row>71</xdr:row>
      <xdr:rowOff>178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1C12EB8-1D16-3466-BBA6-2665EB1D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39075" y="12944475"/>
          <a:ext cx="3705742" cy="1276528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485774</xdr:colOff>
      <xdr:row>75</xdr:row>
      <xdr:rowOff>38099</xdr:rowOff>
    </xdr:from>
    <xdr:to>
      <xdr:col>15</xdr:col>
      <xdr:colOff>60959</xdr:colOff>
      <xdr:row>85</xdr:row>
      <xdr:rowOff>133349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BF208E6F-0CF2-6CAF-FE96-660DEE28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77049" y="15020924"/>
          <a:ext cx="2009775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105</xdr:row>
      <xdr:rowOff>28575</xdr:rowOff>
    </xdr:from>
    <xdr:to>
      <xdr:col>5</xdr:col>
      <xdr:colOff>209550</xdr:colOff>
      <xdr:row>114</xdr:row>
      <xdr:rowOff>114974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26658FAE-7222-E1FC-605A-F1199C019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0075" y="19650075"/>
          <a:ext cx="2333625" cy="180089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105</xdr:row>
      <xdr:rowOff>76201</xdr:rowOff>
    </xdr:from>
    <xdr:to>
      <xdr:col>10</xdr:col>
      <xdr:colOff>171451</xdr:colOff>
      <xdr:row>114</xdr:row>
      <xdr:rowOff>98459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1D7BB854-F46E-FA8A-39B4-EC34BEE1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81551" y="19697701"/>
          <a:ext cx="1771650" cy="1740568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104</xdr:row>
      <xdr:rowOff>95250</xdr:rowOff>
    </xdr:from>
    <xdr:to>
      <xdr:col>16</xdr:col>
      <xdr:colOff>327659</xdr:colOff>
      <xdr:row>113</xdr:row>
      <xdr:rowOff>132448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B4FAA081-29CC-277D-8E1F-9FDF3980F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353425" y="19526250"/>
          <a:ext cx="2019299" cy="1747888"/>
        </a:xfrm>
        <a:prstGeom prst="rect">
          <a:avLst/>
        </a:prstGeom>
      </xdr:spPr>
    </xdr:pic>
    <xdr:clientData/>
  </xdr:twoCellAnchor>
  <xdr:twoCellAnchor editAs="oneCell">
    <xdr:from>
      <xdr:col>19</xdr:col>
      <xdr:colOff>219075</xdr:colOff>
      <xdr:row>104</xdr:row>
      <xdr:rowOff>85725</xdr:rowOff>
    </xdr:from>
    <xdr:to>
      <xdr:col>21</xdr:col>
      <xdr:colOff>531573</xdr:colOff>
      <xdr:row>114</xdr:row>
      <xdr:rowOff>167640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E4D1DC22-DCF3-06B5-B151-B52049D3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096750" y="19516725"/>
          <a:ext cx="1531698" cy="19907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120</xdr:row>
      <xdr:rowOff>47625</xdr:rowOff>
    </xdr:from>
    <xdr:to>
      <xdr:col>9</xdr:col>
      <xdr:colOff>53340</xdr:colOff>
      <xdr:row>128</xdr:row>
      <xdr:rowOff>58661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AD4FDA6E-939A-DBD1-6BD4-AE0D77CEB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429000" y="21507450"/>
          <a:ext cx="1800225" cy="1531226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28574</xdr:colOff>
      <xdr:row>120</xdr:row>
      <xdr:rowOff>25121</xdr:rowOff>
    </xdr:from>
    <xdr:to>
      <xdr:col>18</xdr:col>
      <xdr:colOff>363855</xdr:colOff>
      <xdr:row>128</xdr:row>
      <xdr:rowOff>129693</xdr:rowOff>
    </xdr:to>
    <xdr:pic>
      <xdr:nvPicPr>
        <xdr:cNvPr id="29" name="Obrázek 28" descr="StrongLumio bezdrátový nabíjecí dotykový vypínač/stmívač">
          <a:extLst>
            <a:ext uri="{FF2B5EF4-FFF2-40B4-BE49-F238E27FC236}">
              <a16:creationId xmlns:a16="http://schemas.microsoft.com/office/drawing/2014/main" id="{F35245D2-043D-9D34-2034-FAEBBE12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49" y="21484946"/>
          <a:ext cx="2171701" cy="1617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egrendelesek@demos-trade.com" TargetMode="External"/><Relationship Id="rId1" Type="http://schemas.openxmlformats.org/officeDocument/2006/relationships/hyperlink" Target="mailto:objednavky@demos-trade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EE03-F3E3-4BA4-B1BA-DB8ADA0F87E5}">
  <sheetPr codeName="List2"/>
  <dimension ref="A1:O30"/>
  <sheetViews>
    <sheetView showGridLines="0" showRowColHeaders="0" tabSelected="1" workbookViewId="0">
      <selection activeCell="L2" sqref="L2:M2"/>
    </sheetView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0" width="9.140625" customWidth="1"/>
    <col min="11" max="11" width="20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94" t="str">
        <f>Překlady!C8</f>
        <v>Dále</v>
      </c>
      <c r="M2" s="194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195" t="s">
        <v>0</v>
      </c>
      <c r="C11" s="195"/>
      <c r="D11" s="195"/>
      <c r="E11" s="195"/>
      <c r="F11" s="195"/>
      <c r="G11" s="195"/>
    </row>
    <row r="12" spans="1:13" x14ac:dyDescent="0.25"/>
    <row r="13" spans="1:13" x14ac:dyDescent="0.25"/>
    <row r="14" spans="1:13" ht="24" customHeight="1" x14ac:dyDescent="0.25">
      <c r="B14" s="196" t="str">
        <f>Překlady!C9</f>
        <v>Výroba LED sestav na míru</v>
      </c>
      <c r="C14" s="196"/>
      <c r="D14" s="196"/>
      <c r="E14" s="196"/>
      <c r="F14" s="196"/>
      <c r="G14" s="196"/>
      <c r="H14" s="2"/>
    </row>
    <row r="15" spans="1:13" ht="27" customHeight="1" x14ac:dyDescent="0.25">
      <c r="B15" s="196"/>
      <c r="C15" s="196"/>
      <c r="D15" s="196"/>
      <c r="E15" s="196"/>
      <c r="F15" s="196"/>
      <c r="G15" s="196"/>
      <c r="H15" s="2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197"/>
      <c r="C20" s="197"/>
      <c r="D20" s="197"/>
      <c r="E20" s="197"/>
      <c r="F20" s="197"/>
      <c r="G20" s="197"/>
      <c r="H20" s="12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>
      <c r="A28" t="str">
        <f>Překlady!C49</f>
        <v>Verze 1.0</v>
      </c>
    </row>
    <row r="29" spans="1:15" ht="6.75" customHeight="1" x14ac:dyDescent="0.25"/>
    <row r="30" spans="1:15" hidden="1" x14ac:dyDescent="0.25">
      <c r="O30" s="3">
        <v>1</v>
      </c>
    </row>
  </sheetData>
  <sheetProtection algorithmName="SHA-512" hashValue="W/90n+SMLIVENh9j8PO1/GpD1vYi7znAktfgrSlW+80JM+AYJXgFNJGwfwwYNuqKCyMl85OdtugnT3Da8TDNsA==" saltValue="+bopnBq5OuXn6Ha7CBO7yQ==" spinCount="100000" sheet="1"/>
  <mergeCells count="4">
    <mergeCell ref="L2:M2"/>
    <mergeCell ref="B11:G11"/>
    <mergeCell ref="B14:G15"/>
    <mergeCell ref="B20:G20"/>
  </mergeCells>
  <dataValidations count="1">
    <dataValidation type="list" allowBlank="1" showInputMessage="1" showErrorMessage="1" sqref="O30" xr:uid="{396FFA76-C008-4DE6-8CF1-114497CBFC50}">
      <formula1>"1,2,3,4,5,6"</formula1>
    </dataValidation>
  </dataValidations>
  <hyperlinks>
    <hyperlink ref="L2:M2" location="Zak!A1" display="Zak!A1" xr:uid="{3CE861F9-885E-4E89-B9F4-3807F1A5F0F0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9B97-8297-43E2-91C0-C8B8E7BBBCB2}">
  <sheetPr>
    <tabColor rgb="FFFFFF00"/>
  </sheetPr>
  <dimension ref="A1:BT108"/>
  <sheetViews>
    <sheetView topLeftCell="A66" workbookViewId="0">
      <selection activeCell="A57" sqref="A57:D108"/>
    </sheetView>
  </sheetViews>
  <sheetFormatPr defaultRowHeight="15" x14ac:dyDescent="0.25"/>
  <cols>
    <col min="2" max="2" width="31.5703125" customWidth="1"/>
    <col min="3" max="3" width="12.5703125" customWidth="1"/>
    <col min="4" max="4" width="21" customWidth="1"/>
    <col min="5" max="5" width="10.42578125" bestFit="1" customWidth="1"/>
    <col min="6" max="6" width="12.5703125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2" width="10.7109375" customWidth="1"/>
    <col min="13" max="13" width="10.85546875" customWidth="1"/>
    <col min="14" max="14" width="10.42578125" customWidth="1"/>
    <col min="19" max="19" width="11" customWidth="1"/>
    <col min="22" max="22" width="10.140625" bestFit="1" customWidth="1"/>
    <col min="25" max="25" width="14.85546875" customWidth="1"/>
    <col min="27" max="28" width="7" bestFit="1" customWidth="1"/>
    <col min="60" max="61" width="10.140625" bestFit="1" customWidth="1"/>
    <col min="62" max="62" width="12" customWidth="1"/>
    <col min="63" max="64" width="10.140625" bestFit="1" customWidth="1"/>
  </cols>
  <sheetData>
    <row r="1" spans="2:72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 t="e">
        <f>IF(AG23&gt;0,MAX($I$1:AF1)+1,0)</f>
        <v>#REF!</v>
      </c>
      <c r="AH1" t="e">
        <f>IF(AH23&gt;0,MAX($I$1:AG1)+1,0)</f>
        <v>#REF!</v>
      </c>
      <c r="AI1" t="e">
        <f>IF(AI23&gt;0,MAX($I$1:AH1)+1,0)</f>
        <v>#REF!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 t="e">
        <f>IF(AY23&gt;0,MAX($I$1:AX1)+1,0)</f>
        <v>#REF!</v>
      </c>
      <c r="AZ1" t="e">
        <f>IF(AZ23&gt;0,MAX($I$1:AY1)+1,0)</f>
        <v>#REF!</v>
      </c>
      <c r="BA1" t="e">
        <f>IF(BA23&gt;0,MAX($I$1:AZ1)+1,0)</f>
        <v>#REF!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</row>
    <row r="2" spans="2:72" ht="59.25" customHeight="1" x14ac:dyDescent="0.25">
      <c r="Y2" s="327" t="str">
        <f>Produkty!B214</f>
        <v>StrongLumio přijímač/rozvaděč pro bezdrátové samonapájecí vypínače 12/24V</v>
      </c>
      <c r="Z2" s="340" t="s">
        <v>5833</v>
      </c>
      <c r="AA2" s="327" t="str">
        <f>Produkty!B214</f>
        <v>StrongLumio přijímač/rozvaděč pro bezdrátové samonapájecí vypínače 12/24V</v>
      </c>
      <c r="AB2" s="335"/>
      <c r="AC2" s="338" t="s">
        <v>5834</v>
      </c>
      <c r="AD2" s="327" t="str">
        <f>Produkty!B215</f>
        <v>StrongLumio přijímač pro bezdrátové samonapájecí vypínače 12/24V (Wi-fi)</v>
      </c>
      <c r="AE2" s="335"/>
      <c r="AF2" s="338" t="s">
        <v>5833</v>
      </c>
      <c r="AG2" s="327" t="e">
        <f>Produkty!#REF!</f>
        <v>#REF!</v>
      </c>
      <c r="AH2" s="335"/>
      <c r="AI2" s="338" t="s">
        <v>5834</v>
      </c>
      <c r="AJ2" s="327" t="str">
        <f>Produkty!B220</f>
        <v>StrongLumio dálkový ovladač RF univerzální 2 v 1</v>
      </c>
      <c r="AK2" s="335"/>
      <c r="AL2" s="338" t="s">
        <v>5833</v>
      </c>
      <c r="AM2" s="327" t="str">
        <f>Produkty!B220</f>
        <v>StrongLumio dálkový ovladač RF univerzální 2 v 1</v>
      </c>
      <c r="AN2" s="335"/>
      <c r="AO2" s="338" t="s">
        <v>5834</v>
      </c>
      <c r="AP2" s="327" t="str">
        <f>Produkty!B221</f>
        <v>StrongLumio dálkový ovladač otočný DIM/CCT/RGB/RGBW - 1 zóna</v>
      </c>
      <c r="AQ2" s="335"/>
      <c r="AR2" s="338" t="s">
        <v>5833</v>
      </c>
      <c r="AS2" s="327" t="str">
        <f>Produkty!B221</f>
        <v>StrongLumio dálkový ovladač otočný DIM/CCT/RGB/RGBW - 1 zóna</v>
      </c>
      <c r="AT2" s="335"/>
      <c r="AU2" s="338" t="s">
        <v>5834</v>
      </c>
      <c r="AV2" s="327" t="str">
        <f>Produkty!B222</f>
        <v>StrongLumio Power dálkový ovladač/stmívač 1x25A</v>
      </c>
      <c r="AW2" s="335"/>
      <c r="AX2" s="338" t="s">
        <v>5833</v>
      </c>
      <c r="AY2" s="327" t="e">
        <f>Produkty!#REF!</f>
        <v>#REF!</v>
      </c>
      <c r="AZ2" s="335"/>
      <c r="BA2" s="352" t="s">
        <v>5834</v>
      </c>
      <c r="BB2" s="343" t="str">
        <f>Produkty!B223</f>
        <v>StrongLumio RF dálkový vypínač/stmívač 12V/24V</v>
      </c>
      <c r="BC2" s="344"/>
      <c r="BD2" s="347" t="s">
        <v>5833</v>
      </c>
      <c r="BE2" s="338"/>
      <c r="BF2" s="343" t="str">
        <f>Produkty!B223</f>
        <v>StrongLumio RF dálkový vypínač/stmívač 12V/24V</v>
      </c>
      <c r="BG2" s="344"/>
      <c r="BH2" s="347" t="s">
        <v>5834</v>
      </c>
      <c r="BI2" s="338"/>
      <c r="BJ2" s="349" t="str">
        <f>Produkty!B224</f>
        <v>StrongLumio RF dálkový ovladač/stmívač 12V/24V 1 zóna</v>
      </c>
      <c r="BK2" s="354" t="s">
        <v>5833</v>
      </c>
      <c r="BL2" s="343" t="str">
        <f>Produkty!B224</f>
        <v>StrongLumio RF dálkový ovladač/stmívač 12V/24V 1 zóna</v>
      </c>
      <c r="BM2" s="344"/>
      <c r="BN2" s="338" t="s">
        <v>5834</v>
      </c>
      <c r="BO2" s="349" t="str">
        <f>Produkty!B225</f>
        <v>StrongLumio bezdrátový nabíjecí dotykový vypínač/stmívač</v>
      </c>
      <c r="BP2" s="352" t="s">
        <v>5833</v>
      </c>
      <c r="BQ2" s="343" t="str">
        <f>Produkty!D225</f>
        <v>StrongLumio bezdrátový nabíjecí dotykový vypínač/stmívač</v>
      </c>
      <c r="BR2" s="344"/>
      <c r="BS2" s="338" t="s">
        <v>5834</v>
      </c>
    </row>
    <row r="3" spans="2:72" ht="15.75" thickBot="1" x14ac:dyDescent="0.3">
      <c r="D3" s="31" t="s">
        <v>5799</v>
      </c>
      <c r="E3" t="str">
        <f>IF(OR(Sestava3!G21=Sestava3!I72,Sestava3!G21=Sestava3!I73,Sestava3!G21=Sestava3!O72,Sestava3!G21=Sestava3!O73),"ano","ne")</f>
        <v>ano</v>
      </c>
      <c r="H3" t="s">
        <v>6940</v>
      </c>
      <c r="X3" s="325" t="s">
        <v>5832</v>
      </c>
      <c r="Y3" s="328"/>
      <c r="Z3" s="341"/>
      <c r="AA3" s="328"/>
      <c r="AB3" s="336"/>
      <c r="AC3" s="339"/>
      <c r="AD3" s="328"/>
      <c r="AE3" s="336"/>
      <c r="AF3" s="339"/>
      <c r="AG3" s="328"/>
      <c r="AH3" s="336"/>
      <c r="AI3" s="339"/>
      <c r="AJ3" s="328"/>
      <c r="AK3" s="336"/>
      <c r="AL3" s="339"/>
      <c r="AM3" s="328"/>
      <c r="AN3" s="336"/>
      <c r="AO3" s="339"/>
      <c r="AP3" s="328"/>
      <c r="AQ3" s="336"/>
      <c r="AR3" s="339"/>
      <c r="AS3" s="328"/>
      <c r="AT3" s="336"/>
      <c r="AU3" s="339"/>
      <c r="AV3" s="328"/>
      <c r="AW3" s="336"/>
      <c r="AX3" s="339"/>
      <c r="AY3" s="328"/>
      <c r="AZ3" s="336"/>
      <c r="BA3" s="353"/>
      <c r="BB3" s="345"/>
      <c r="BC3" s="346"/>
      <c r="BD3" s="348"/>
      <c r="BE3" s="339"/>
      <c r="BF3" s="345"/>
      <c r="BG3" s="346"/>
      <c r="BH3" s="348"/>
      <c r="BI3" s="339"/>
      <c r="BJ3" s="350"/>
      <c r="BK3" s="355"/>
      <c r="BL3" s="345"/>
      <c r="BM3" s="346"/>
      <c r="BN3" s="339"/>
      <c r="BO3" s="350"/>
      <c r="BP3" s="353"/>
      <c r="BQ3" s="345"/>
      <c r="BR3" s="346"/>
      <c r="BS3" s="339"/>
    </row>
    <row r="4" spans="2:72" ht="15.75" thickBot="1" x14ac:dyDescent="0.3">
      <c r="G4" s="334" t="str">
        <f>Překlady!C85</f>
        <v>v profilu</v>
      </c>
      <c r="H4" s="324"/>
      <c r="L4" s="27"/>
      <c r="X4" s="325"/>
      <c r="Y4" s="328"/>
      <c r="Z4" s="341"/>
      <c r="AA4" s="328"/>
      <c r="AB4" s="336"/>
      <c r="AC4" s="339"/>
      <c r="AD4" s="328"/>
      <c r="AE4" s="336"/>
      <c r="AF4" s="339"/>
      <c r="AG4" s="328"/>
      <c r="AH4" s="336"/>
      <c r="AI4" s="339"/>
      <c r="AJ4" s="328"/>
      <c r="AK4" s="336"/>
      <c r="AL4" s="339"/>
      <c r="AM4" s="328"/>
      <c r="AN4" s="336"/>
      <c r="AO4" s="339"/>
      <c r="AP4" s="328"/>
      <c r="AQ4" s="336"/>
      <c r="AR4" s="339"/>
      <c r="AS4" s="328"/>
      <c r="AT4" s="336"/>
      <c r="AU4" s="339"/>
      <c r="AV4" s="328"/>
      <c r="AW4" s="336"/>
      <c r="AX4" s="339"/>
      <c r="AY4" s="328"/>
      <c r="AZ4" s="336"/>
      <c r="BA4" s="353"/>
      <c r="BB4" s="345"/>
      <c r="BC4" s="346"/>
      <c r="BD4" s="348"/>
      <c r="BE4" s="339"/>
      <c r="BF4" s="345"/>
      <c r="BG4" s="346"/>
      <c r="BH4" s="348"/>
      <c r="BI4" s="339"/>
      <c r="BJ4" s="350"/>
      <c r="BK4" s="355"/>
      <c r="BL4" s="345"/>
      <c r="BM4" s="346"/>
      <c r="BN4" s="339"/>
      <c r="BO4" s="350"/>
      <c r="BP4" s="353"/>
      <c r="BQ4" s="345"/>
      <c r="BR4" s="346"/>
      <c r="BS4" s="339"/>
    </row>
    <row r="5" spans="2:72" x14ac:dyDescent="0.25">
      <c r="B5" s="46" t="str">
        <f>CONCATENATE(Sestava3!G63,"_",Sestava3!G65,"_",Sestava3!G67,"_",Sestava3!P65)</f>
        <v>___</v>
      </c>
      <c r="C5" s="330" t="s">
        <v>5824</v>
      </c>
      <c r="D5" s="330"/>
      <c r="E5" s="76" t="s">
        <v>5796</v>
      </c>
      <c r="F5" s="136" t="s">
        <v>5797</v>
      </c>
      <c r="G5" s="138" t="s">
        <v>6803</v>
      </c>
      <c r="H5" s="135" t="s">
        <v>6804</v>
      </c>
      <c r="I5" s="331" t="str">
        <f>Překlady!C88</f>
        <v>vlastní vypínač na zdi</v>
      </c>
      <c r="J5" s="331"/>
      <c r="K5" s="331"/>
      <c r="L5" s="332"/>
      <c r="M5" s="75" t="str">
        <f>Překlady!C85</f>
        <v>v profilu</v>
      </c>
      <c r="N5" s="333" t="s">
        <v>5831</v>
      </c>
      <c r="O5" s="332"/>
      <c r="P5" s="72" t="str">
        <f>Překlady!C85</f>
        <v>v profilu</v>
      </c>
      <c r="Q5" s="134" t="s">
        <v>5832</v>
      </c>
      <c r="R5" s="134"/>
      <c r="S5" s="72" t="str">
        <f>Překlady!C86</f>
        <v>mimo profil</v>
      </c>
      <c r="T5" s="323" t="s">
        <v>5831</v>
      </c>
      <c r="U5" s="323"/>
      <c r="V5" s="324"/>
      <c r="W5" s="72" t="str">
        <f>Překlady!C86</f>
        <v>mimo profil</v>
      </c>
      <c r="X5" s="326"/>
      <c r="Y5" s="329"/>
      <c r="Z5" s="342"/>
      <c r="AA5" s="329"/>
      <c r="AB5" s="337"/>
      <c r="AC5" s="339"/>
      <c r="AD5" s="329"/>
      <c r="AE5" s="337"/>
      <c r="AF5" s="339"/>
      <c r="AG5" s="329"/>
      <c r="AH5" s="337"/>
      <c r="AI5" s="339"/>
      <c r="AJ5" s="329"/>
      <c r="AK5" s="337"/>
      <c r="AL5" s="339"/>
      <c r="AM5" s="329"/>
      <c r="AN5" s="337"/>
      <c r="AO5" s="339"/>
      <c r="AP5" s="329"/>
      <c r="AQ5" s="337"/>
      <c r="AR5" s="339"/>
      <c r="AS5" s="329"/>
      <c r="AT5" s="337"/>
      <c r="AU5" s="339"/>
      <c r="AV5" s="329"/>
      <c r="AW5" s="337"/>
      <c r="AX5" s="339"/>
      <c r="AY5" s="329"/>
      <c r="AZ5" s="337"/>
      <c r="BA5" s="353"/>
      <c r="BB5" s="345"/>
      <c r="BC5" s="346"/>
      <c r="BD5" s="348"/>
      <c r="BE5" s="339"/>
      <c r="BF5" s="345"/>
      <c r="BG5" s="346"/>
      <c r="BH5" s="348"/>
      <c r="BI5" s="339"/>
      <c r="BJ5" s="351"/>
      <c r="BK5" s="356"/>
      <c r="BL5" s="345"/>
      <c r="BM5" s="346"/>
      <c r="BN5" s="339"/>
      <c r="BO5" s="351"/>
      <c r="BP5" s="353"/>
      <c r="BQ5" s="345"/>
      <c r="BR5" s="346"/>
      <c r="BS5" s="339"/>
    </row>
    <row r="6" spans="2:72" ht="15.75" customHeight="1" thickBot="1" x14ac:dyDescent="0.3">
      <c r="B6" s="46" t="s">
        <v>5795</v>
      </c>
      <c r="C6" s="27" t="s">
        <v>5825</v>
      </c>
      <c r="D6" s="27" t="s">
        <v>5826</v>
      </c>
      <c r="E6" s="80" t="s">
        <v>5846</v>
      </c>
      <c r="F6" s="137" t="s">
        <v>5842</v>
      </c>
      <c r="G6" s="320" t="s">
        <v>5842</v>
      </c>
      <c r="H6" s="321"/>
      <c r="I6" s="81" t="s">
        <v>5321</v>
      </c>
      <c r="J6" s="82" t="s">
        <v>5329</v>
      </c>
      <c r="K6" s="82" t="s">
        <v>5193</v>
      </c>
      <c r="L6" s="83" t="s">
        <v>5341</v>
      </c>
      <c r="M6" s="81" t="s">
        <v>5321</v>
      </c>
      <c r="N6" s="82" t="s">
        <v>5329</v>
      </c>
      <c r="O6" s="82" t="s">
        <v>5193</v>
      </c>
      <c r="P6" s="84" t="s">
        <v>5329</v>
      </c>
      <c r="Q6" s="85" t="s">
        <v>5341</v>
      </c>
      <c r="R6" s="82" t="s">
        <v>5193</v>
      </c>
      <c r="S6" s="84" t="s">
        <v>5321</v>
      </c>
      <c r="T6" s="82" t="s">
        <v>5329</v>
      </c>
      <c r="U6" s="82" t="s">
        <v>5340</v>
      </c>
      <c r="V6" s="82" t="s">
        <v>5193</v>
      </c>
      <c r="W6" s="84" t="s">
        <v>5341</v>
      </c>
      <c r="X6" s="86" t="s">
        <v>5329</v>
      </c>
      <c r="Y6" s="84" t="s">
        <v>5329</v>
      </c>
      <c r="Z6" s="86" t="s">
        <v>5193</v>
      </c>
      <c r="AA6" s="83" t="s">
        <v>5459</v>
      </c>
      <c r="AB6" s="84" t="s">
        <v>5329</v>
      </c>
      <c r="AC6" s="83" t="s">
        <v>5193</v>
      </c>
      <c r="AD6" s="83" t="s">
        <v>5333</v>
      </c>
      <c r="AE6" s="84" t="s">
        <v>4890</v>
      </c>
      <c r="AF6" s="83" t="s">
        <v>5193</v>
      </c>
      <c r="AG6" s="84" t="s">
        <v>4890</v>
      </c>
      <c r="AH6" s="84" t="s">
        <v>5134</v>
      </c>
      <c r="AI6" s="83" t="s">
        <v>5193</v>
      </c>
      <c r="AJ6" s="84" t="s">
        <v>5333</v>
      </c>
      <c r="AK6" s="84" t="s">
        <v>4890</v>
      </c>
      <c r="AL6" s="83" t="s">
        <v>5193</v>
      </c>
      <c r="AM6" s="84" t="s">
        <v>4890</v>
      </c>
      <c r="AN6" s="84" t="s">
        <v>5134</v>
      </c>
      <c r="AO6" s="83" t="s">
        <v>5193</v>
      </c>
      <c r="AP6" s="84" t="s">
        <v>5333</v>
      </c>
      <c r="AQ6" s="84" t="s">
        <v>4890</v>
      </c>
      <c r="AR6" s="83" t="s">
        <v>5193</v>
      </c>
      <c r="AS6" s="84" t="s">
        <v>4890</v>
      </c>
      <c r="AT6" s="84" t="s">
        <v>5134</v>
      </c>
      <c r="AU6" s="83" t="s">
        <v>5193</v>
      </c>
      <c r="AV6" s="84" t="s">
        <v>5333</v>
      </c>
      <c r="AW6" s="84" t="s">
        <v>4890</v>
      </c>
      <c r="AX6" s="83" t="s">
        <v>5193</v>
      </c>
      <c r="AY6" s="84" t="s">
        <v>4890</v>
      </c>
      <c r="AZ6" s="84" t="s">
        <v>5134</v>
      </c>
      <c r="BA6" s="86" t="s">
        <v>5193</v>
      </c>
      <c r="BB6" s="84" t="s">
        <v>5321</v>
      </c>
      <c r="BC6" s="82" t="s">
        <v>5329</v>
      </c>
      <c r="BD6" s="82" t="s">
        <v>5193</v>
      </c>
      <c r="BE6" s="83" t="s">
        <v>5341</v>
      </c>
      <c r="BF6" s="84" t="s">
        <v>5321</v>
      </c>
      <c r="BG6" s="82" t="s">
        <v>5329</v>
      </c>
      <c r="BH6" s="82" t="s">
        <v>5193</v>
      </c>
      <c r="BI6" s="83" t="s">
        <v>5459</v>
      </c>
      <c r="BJ6" s="84" t="s">
        <v>4890</v>
      </c>
      <c r="BK6" s="86" t="s">
        <v>5193</v>
      </c>
      <c r="BL6" s="84" t="s">
        <v>4890</v>
      </c>
      <c r="BM6" s="82" t="s">
        <v>5459</v>
      </c>
      <c r="BN6" s="83" t="s">
        <v>5193</v>
      </c>
      <c r="BO6" s="84" t="s">
        <v>5329</v>
      </c>
      <c r="BP6" s="86" t="s">
        <v>5193</v>
      </c>
      <c r="BQ6" s="84" t="s">
        <v>5459</v>
      </c>
      <c r="BR6" s="82" t="s">
        <v>5329</v>
      </c>
      <c r="BS6" s="83" t="s">
        <v>5193</v>
      </c>
    </row>
    <row r="7" spans="2:72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22">
        <f>IF(AND(Sestava3!$G$110=G4,Sestava3!$W$112=1),1,0)</f>
        <v>0</v>
      </c>
      <c r="H7" s="322">
        <f>IF(AND(Sestava3!$G$110=G4,Sestava3!$W$112=2),2,0)</f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1</v>
      </c>
      <c r="AK7">
        <v>2</v>
      </c>
      <c r="AL7">
        <v>0</v>
      </c>
      <c r="AM7">
        <v>0</v>
      </c>
      <c r="AN7">
        <v>0</v>
      </c>
      <c r="AO7">
        <v>0</v>
      </c>
      <c r="AP7">
        <v>1</v>
      </c>
      <c r="AQ7">
        <v>2</v>
      </c>
      <c r="AR7">
        <v>0</v>
      </c>
      <c r="AS7">
        <v>0</v>
      </c>
      <c r="AT7">
        <v>0</v>
      </c>
      <c r="AU7">
        <v>0</v>
      </c>
      <c r="AV7">
        <v>1</v>
      </c>
      <c r="AW7">
        <v>2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 s="46">
        <v>1</v>
      </c>
    </row>
    <row r="8" spans="2:72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209"/>
      <c r="H8" s="209"/>
      <c r="I8">
        <v>1</v>
      </c>
      <c r="J8">
        <v>1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>
        <v>0</v>
      </c>
      <c r="AG8">
        <v>0</v>
      </c>
      <c r="AH8">
        <v>0</v>
      </c>
      <c r="AI8">
        <v>0</v>
      </c>
      <c r="AJ8">
        <v>1</v>
      </c>
      <c r="AK8">
        <v>2</v>
      </c>
      <c r="AL8">
        <v>0</v>
      </c>
      <c r="AM8">
        <v>0</v>
      </c>
      <c r="AN8">
        <v>0</v>
      </c>
      <c r="AO8">
        <v>0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1</v>
      </c>
      <c r="AW8">
        <v>2</v>
      </c>
      <c r="AX8">
        <v>0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2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 s="46">
        <v>2</v>
      </c>
    </row>
    <row r="9" spans="2:72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209"/>
      <c r="H9" s="209"/>
      <c r="I9">
        <v>0</v>
      </c>
      <c r="J9">
        <v>2</v>
      </c>
      <c r="K9">
        <v>0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0</v>
      </c>
      <c r="S9">
        <v>1</v>
      </c>
      <c r="T9">
        <v>2</v>
      </c>
      <c r="U9">
        <v>1</v>
      </c>
      <c r="V9">
        <v>0</v>
      </c>
      <c r="W9">
        <v>1</v>
      </c>
      <c r="X9">
        <v>2</v>
      </c>
      <c r="Y9">
        <v>2</v>
      </c>
      <c r="Z9">
        <v>0</v>
      </c>
      <c r="AA9">
        <v>1</v>
      </c>
      <c r="AB9">
        <v>2</v>
      </c>
      <c r="AC9">
        <v>0</v>
      </c>
      <c r="AD9">
        <v>1</v>
      </c>
      <c r="AE9">
        <v>4</v>
      </c>
      <c r="AF9">
        <v>0</v>
      </c>
      <c r="AG9">
        <v>4</v>
      </c>
      <c r="AH9">
        <v>1</v>
      </c>
      <c r="AI9">
        <v>0</v>
      </c>
      <c r="AJ9">
        <v>1</v>
      </c>
      <c r="AK9">
        <v>4</v>
      </c>
      <c r="AL9">
        <v>0</v>
      </c>
      <c r="AM9">
        <v>4</v>
      </c>
      <c r="AN9">
        <v>1</v>
      </c>
      <c r="AO9">
        <v>0</v>
      </c>
      <c r="AP9">
        <v>1</v>
      </c>
      <c r="AQ9">
        <v>4</v>
      </c>
      <c r="AR9">
        <v>0</v>
      </c>
      <c r="AS9">
        <v>4</v>
      </c>
      <c r="AT9">
        <v>1</v>
      </c>
      <c r="AU9">
        <v>0</v>
      </c>
      <c r="AV9">
        <v>1</v>
      </c>
      <c r="AW9">
        <v>4</v>
      </c>
      <c r="AX9">
        <v>0</v>
      </c>
      <c r="AY9">
        <v>4</v>
      </c>
      <c r="AZ9">
        <v>1</v>
      </c>
      <c r="BA9">
        <v>0</v>
      </c>
      <c r="BB9">
        <v>0</v>
      </c>
      <c r="BC9">
        <v>2</v>
      </c>
      <c r="BD9">
        <v>0</v>
      </c>
      <c r="BE9">
        <v>1</v>
      </c>
      <c r="BF9">
        <v>1</v>
      </c>
      <c r="BG9">
        <v>2</v>
      </c>
      <c r="BH9">
        <v>0</v>
      </c>
      <c r="BI9">
        <v>1</v>
      </c>
      <c r="BJ9">
        <v>4</v>
      </c>
      <c r="BK9">
        <v>0</v>
      </c>
      <c r="BL9">
        <v>4</v>
      </c>
      <c r="BM9">
        <v>1</v>
      </c>
      <c r="BN9">
        <v>0</v>
      </c>
      <c r="BO9">
        <v>2</v>
      </c>
      <c r="BP9">
        <v>0</v>
      </c>
      <c r="BQ9">
        <v>1</v>
      </c>
      <c r="BR9">
        <v>2</v>
      </c>
      <c r="BS9">
        <v>0</v>
      </c>
      <c r="BT9" s="46">
        <v>3</v>
      </c>
    </row>
    <row r="10" spans="2:72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209"/>
      <c r="H10" s="209"/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1</v>
      </c>
      <c r="AE10">
        <v>2</v>
      </c>
      <c r="AF10">
        <v>1</v>
      </c>
      <c r="AG10">
        <v>0</v>
      </c>
      <c r="AH10">
        <v>0</v>
      </c>
      <c r="AI10">
        <v>0</v>
      </c>
      <c r="AJ10">
        <v>1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1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2</v>
      </c>
      <c r="AX10">
        <v>1</v>
      </c>
      <c r="AY10">
        <v>0</v>
      </c>
      <c r="AZ10">
        <v>0</v>
      </c>
      <c r="BA10">
        <v>0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1</v>
      </c>
      <c r="BQ10">
        <v>0</v>
      </c>
      <c r="BR10">
        <v>0</v>
      </c>
      <c r="BS10">
        <v>0</v>
      </c>
      <c r="BT10" s="46">
        <v>4</v>
      </c>
    </row>
    <row r="11" spans="2:72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209"/>
      <c r="H11" s="209"/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2</v>
      </c>
      <c r="AF11">
        <v>1</v>
      </c>
      <c r="AG11">
        <v>0</v>
      </c>
      <c r="AH11">
        <v>0</v>
      </c>
      <c r="AI11">
        <v>0</v>
      </c>
      <c r="AJ11">
        <v>1</v>
      </c>
      <c r="AK11">
        <v>2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1</v>
      </c>
      <c r="AS11">
        <v>0</v>
      </c>
      <c r="AT11">
        <v>0</v>
      </c>
      <c r="AU11">
        <v>0</v>
      </c>
      <c r="AV11">
        <v>1</v>
      </c>
      <c r="AW11">
        <v>2</v>
      </c>
      <c r="AX11">
        <v>1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1</v>
      </c>
      <c r="BL11">
        <v>0</v>
      </c>
      <c r="BM11">
        <v>0</v>
      </c>
      <c r="BN11">
        <v>0</v>
      </c>
      <c r="BO11">
        <v>1</v>
      </c>
      <c r="BP11">
        <v>1</v>
      </c>
      <c r="BQ11">
        <v>0</v>
      </c>
      <c r="BR11">
        <v>0</v>
      </c>
      <c r="BS11">
        <v>0</v>
      </c>
      <c r="BT11" s="46">
        <v>5</v>
      </c>
    </row>
    <row r="12" spans="2:72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209"/>
      <c r="H12" s="209"/>
      <c r="I12">
        <v>1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2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 s="46">
        <v>6</v>
      </c>
    </row>
    <row r="13" spans="2:72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209"/>
      <c r="H13" s="209"/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 s="46">
        <v>7</v>
      </c>
    </row>
    <row r="14" spans="2:72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209"/>
      <c r="H14" s="209"/>
      <c r="I14">
        <v>0</v>
      </c>
      <c r="J14">
        <v>2</v>
      </c>
      <c r="K14">
        <v>0</v>
      </c>
      <c r="L14">
        <v>1</v>
      </c>
      <c r="M14">
        <v>1</v>
      </c>
      <c r="N14">
        <v>1</v>
      </c>
      <c r="O14">
        <v>1</v>
      </c>
      <c r="P14">
        <v>2</v>
      </c>
      <c r="Q14">
        <v>1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1</v>
      </c>
      <c r="AB14">
        <v>2</v>
      </c>
      <c r="AC14">
        <v>0</v>
      </c>
      <c r="AD14">
        <v>1</v>
      </c>
      <c r="AE14">
        <v>4</v>
      </c>
      <c r="AF14">
        <v>0</v>
      </c>
      <c r="AG14">
        <v>4</v>
      </c>
      <c r="AH14">
        <v>1</v>
      </c>
      <c r="AI14">
        <v>0</v>
      </c>
      <c r="AJ14">
        <v>1</v>
      </c>
      <c r="AK14">
        <v>4</v>
      </c>
      <c r="AL14">
        <v>0</v>
      </c>
      <c r="AM14">
        <v>4</v>
      </c>
      <c r="AN14">
        <v>1</v>
      </c>
      <c r="AO14">
        <v>0</v>
      </c>
      <c r="AP14">
        <v>1</v>
      </c>
      <c r="AQ14">
        <v>4</v>
      </c>
      <c r="AR14">
        <v>0</v>
      </c>
      <c r="AS14">
        <v>4</v>
      </c>
      <c r="AT14">
        <v>1</v>
      </c>
      <c r="AU14">
        <v>0</v>
      </c>
      <c r="AV14">
        <v>1</v>
      </c>
      <c r="AW14">
        <v>4</v>
      </c>
      <c r="AX14">
        <v>0</v>
      </c>
      <c r="AY14">
        <v>4</v>
      </c>
      <c r="AZ14">
        <v>1</v>
      </c>
      <c r="BA14">
        <v>0</v>
      </c>
      <c r="BB14">
        <v>0</v>
      </c>
      <c r="BC14">
        <v>2</v>
      </c>
      <c r="BD14">
        <v>0</v>
      </c>
      <c r="BE14">
        <v>1</v>
      </c>
      <c r="BF14">
        <v>2</v>
      </c>
      <c r="BG14">
        <v>2</v>
      </c>
      <c r="BH14">
        <v>0</v>
      </c>
      <c r="BI14">
        <v>1</v>
      </c>
      <c r="BJ14">
        <v>2</v>
      </c>
      <c r="BK14">
        <v>0</v>
      </c>
      <c r="BL14">
        <v>4</v>
      </c>
      <c r="BM14">
        <v>1</v>
      </c>
      <c r="BN14">
        <v>0</v>
      </c>
      <c r="BO14">
        <v>2</v>
      </c>
      <c r="BP14">
        <v>0</v>
      </c>
      <c r="BQ14">
        <v>1</v>
      </c>
      <c r="BR14">
        <v>2</v>
      </c>
      <c r="BS14">
        <v>0</v>
      </c>
      <c r="BT14" s="46">
        <v>8</v>
      </c>
    </row>
    <row r="15" spans="2:72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209"/>
      <c r="H15" s="209"/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2</v>
      </c>
      <c r="AF15">
        <v>1</v>
      </c>
      <c r="AG15">
        <v>0</v>
      </c>
      <c r="AH15">
        <v>0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2</v>
      </c>
      <c r="AR15">
        <v>1</v>
      </c>
      <c r="AS15">
        <v>0</v>
      </c>
      <c r="AT15">
        <v>0</v>
      </c>
      <c r="AU15">
        <v>0</v>
      </c>
      <c r="AV15">
        <v>1</v>
      </c>
      <c r="AW15">
        <v>2</v>
      </c>
      <c r="AX15">
        <v>1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</v>
      </c>
      <c r="BK15">
        <v>1</v>
      </c>
      <c r="BL15">
        <v>0</v>
      </c>
      <c r="BM15">
        <v>0</v>
      </c>
      <c r="BN15">
        <v>0</v>
      </c>
      <c r="BO15">
        <v>1</v>
      </c>
      <c r="BP15">
        <v>1</v>
      </c>
      <c r="BQ15">
        <v>0</v>
      </c>
      <c r="BR15">
        <v>0</v>
      </c>
      <c r="BS15">
        <v>0</v>
      </c>
      <c r="BT15" s="46">
        <v>9</v>
      </c>
    </row>
    <row r="16" spans="2:72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209"/>
      <c r="H16" s="209"/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2</v>
      </c>
      <c r="AF16">
        <v>1</v>
      </c>
      <c r="AG16">
        <v>0</v>
      </c>
      <c r="AH16">
        <v>0</v>
      </c>
      <c r="AI16">
        <v>0</v>
      </c>
      <c r="AJ16">
        <v>1</v>
      </c>
      <c r="AK16">
        <v>2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2</v>
      </c>
      <c r="AX16">
        <v>1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1</v>
      </c>
      <c r="BL16">
        <v>0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 s="46">
        <v>10</v>
      </c>
    </row>
    <row r="17" spans="2:72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209"/>
      <c r="H17" s="209"/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2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2</v>
      </c>
      <c r="AL17">
        <v>1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2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1</v>
      </c>
      <c r="BL17">
        <v>0</v>
      </c>
      <c r="BM17">
        <v>0</v>
      </c>
      <c r="BN17">
        <v>0</v>
      </c>
      <c r="BO17">
        <v>1</v>
      </c>
      <c r="BP17">
        <v>1</v>
      </c>
      <c r="BQ17">
        <v>0</v>
      </c>
      <c r="BR17">
        <v>0</v>
      </c>
      <c r="BS17">
        <v>0</v>
      </c>
      <c r="BT17" s="46">
        <v>11</v>
      </c>
    </row>
    <row r="18" spans="2:72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209"/>
      <c r="H18" s="209"/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1</v>
      </c>
      <c r="AE18">
        <v>2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2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1</v>
      </c>
      <c r="BC18">
        <v>1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</v>
      </c>
      <c r="BK18">
        <v>1</v>
      </c>
      <c r="BL18">
        <v>0</v>
      </c>
      <c r="BM18">
        <v>0</v>
      </c>
      <c r="BN18">
        <v>0</v>
      </c>
      <c r="BO18">
        <v>1</v>
      </c>
      <c r="BP18">
        <v>1</v>
      </c>
      <c r="BQ18">
        <v>0</v>
      </c>
      <c r="BR18">
        <v>0</v>
      </c>
      <c r="BS18">
        <v>0</v>
      </c>
      <c r="BT18" s="46">
        <v>12</v>
      </c>
    </row>
    <row r="19" spans="2:72" x14ac:dyDescent="0.25">
      <c r="B19" t="str">
        <f>CONCATENATE(Překlady!$C$14,"_",Překlady!$C$15,"_",Překlady!$C$36,"_",Překlady!$C$35)</f>
        <v>rohový_ano_v přerušení_vpravo</v>
      </c>
      <c r="C19" s="27">
        <v>3</v>
      </c>
      <c r="D19" s="27">
        <v>2</v>
      </c>
      <c r="E19" s="27">
        <v>3</v>
      </c>
      <c r="F19" s="27">
        <f>4+G7+H7</f>
        <v>4</v>
      </c>
      <c r="G19" s="209"/>
      <c r="H19" s="209"/>
      <c r="I19">
        <v>0</v>
      </c>
      <c r="J19">
        <v>2</v>
      </c>
      <c r="K19">
        <v>0</v>
      </c>
      <c r="L19">
        <v>1</v>
      </c>
      <c r="M19">
        <v>1</v>
      </c>
      <c r="N19">
        <v>1</v>
      </c>
      <c r="O19">
        <v>1</v>
      </c>
      <c r="P19">
        <v>2</v>
      </c>
      <c r="Q19">
        <v>1</v>
      </c>
      <c r="R19">
        <v>0</v>
      </c>
      <c r="S19">
        <v>1</v>
      </c>
      <c r="T19">
        <v>2</v>
      </c>
      <c r="U19">
        <v>1</v>
      </c>
      <c r="V19">
        <v>0</v>
      </c>
      <c r="W19">
        <v>1</v>
      </c>
      <c r="X19">
        <v>2</v>
      </c>
      <c r="Y19">
        <v>2</v>
      </c>
      <c r="Z19">
        <v>0</v>
      </c>
      <c r="AA19">
        <v>1</v>
      </c>
      <c r="AB19">
        <v>2</v>
      </c>
      <c r="AC19">
        <v>0</v>
      </c>
      <c r="AD19">
        <v>1</v>
      </c>
      <c r="AE19">
        <v>4</v>
      </c>
      <c r="AF19">
        <v>0</v>
      </c>
      <c r="AG19">
        <v>4</v>
      </c>
      <c r="AH19">
        <v>1</v>
      </c>
      <c r="AI19">
        <v>0</v>
      </c>
      <c r="AJ19">
        <v>1</v>
      </c>
      <c r="AK19">
        <v>4</v>
      </c>
      <c r="AL19">
        <v>0</v>
      </c>
      <c r="AM19">
        <v>4</v>
      </c>
      <c r="AN19">
        <v>1</v>
      </c>
      <c r="AO19">
        <v>0</v>
      </c>
      <c r="AP19">
        <v>1</v>
      </c>
      <c r="AQ19">
        <v>4</v>
      </c>
      <c r="AR19">
        <v>0</v>
      </c>
      <c r="AS19">
        <v>4</v>
      </c>
      <c r="AT19">
        <v>1</v>
      </c>
      <c r="AU19">
        <v>0</v>
      </c>
      <c r="AV19">
        <v>1</v>
      </c>
      <c r="AW19">
        <v>4</v>
      </c>
      <c r="AX19">
        <v>0</v>
      </c>
      <c r="AY19">
        <v>4</v>
      </c>
      <c r="AZ19">
        <v>1</v>
      </c>
      <c r="BA19">
        <v>0</v>
      </c>
      <c r="BB19">
        <v>0</v>
      </c>
      <c r="BC19">
        <v>2</v>
      </c>
      <c r="BD19">
        <v>0</v>
      </c>
      <c r="BE19">
        <v>1</v>
      </c>
      <c r="BF19">
        <v>2</v>
      </c>
      <c r="BG19">
        <v>2</v>
      </c>
      <c r="BH19">
        <v>0</v>
      </c>
      <c r="BI19">
        <v>1</v>
      </c>
      <c r="BJ19">
        <v>4</v>
      </c>
      <c r="BK19">
        <v>0</v>
      </c>
      <c r="BL19">
        <v>4</v>
      </c>
      <c r="BM19">
        <v>1</v>
      </c>
      <c r="BN19">
        <v>0</v>
      </c>
      <c r="BO19">
        <v>2</v>
      </c>
      <c r="BP19">
        <v>0</v>
      </c>
      <c r="BQ19">
        <v>1</v>
      </c>
      <c r="BR19">
        <v>2</v>
      </c>
      <c r="BS19">
        <v>0</v>
      </c>
      <c r="BT19" s="46">
        <v>13</v>
      </c>
    </row>
    <row r="20" spans="2:72" x14ac:dyDescent="0.25">
      <c r="B20" t="str">
        <f>CONCATENATE(Překlady!$C$14,"_",Překlady!$C$15,"_",Překlady!$C$36,"_",Překlady!$C$34)</f>
        <v>rohový_ano_v přerušení_vlevo</v>
      </c>
      <c r="C20" s="27">
        <v>3</v>
      </c>
      <c r="D20" s="27">
        <v>2</v>
      </c>
      <c r="E20" s="27">
        <v>3</v>
      </c>
      <c r="F20" s="27">
        <f>4+G7+H7</f>
        <v>4</v>
      </c>
      <c r="G20" s="209"/>
      <c r="H20" s="209"/>
      <c r="I20">
        <v>0</v>
      </c>
      <c r="J20">
        <v>2</v>
      </c>
      <c r="K20">
        <v>0</v>
      </c>
      <c r="L20">
        <v>1</v>
      </c>
      <c r="M20">
        <v>1</v>
      </c>
      <c r="N20">
        <v>1</v>
      </c>
      <c r="O20">
        <v>1</v>
      </c>
      <c r="P20">
        <v>2</v>
      </c>
      <c r="Q20">
        <v>1</v>
      </c>
      <c r="R20">
        <v>0</v>
      </c>
      <c r="S20">
        <v>1</v>
      </c>
      <c r="T20">
        <v>2</v>
      </c>
      <c r="U20">
        <v>1</v>
      </c>
      <c r="V20">
        <v>0</v>
      </c>
      <c r="W20">
        <v>1</v>
      </c>
      <c r="X20">
        <v>2</v>
      </c>
      <c r="Y20">
        <v>2</v>
      </c>
      <c r="Z20">
        <v>0</v>
      </c>
      <c r="AA20">
        <v>1</v>
      </c>
      <c r="AB20">
        <v>2</v>
      </c>
      <c r="AC20">
        <v>0</v>
      </c>
      <c r="AD20">
        <v>1</v>
      </c>
      <c r="AE20">
        <v>4</v>
      </c>
      <c r="AF20">
        <v>0</v>
      </c>
      <c r="AG20">
        <v>4</v>
      </c>
      <c r="AH20">
        <v>1</v>
      </c>
      <c r="AI20">
        <v>0</v>
      </c>
      <c r="AJ20">
        <v>1</v>
      </c>
      <c r="AK20">
        <v>4</v>
      </c>
      <c r="AL20">
        <v>0</v>
      </c>
      <c r="AM20">
        <v>4</v>
      </c>
      <c r="AN20">
        <v>1</v>
      </c>
      <c r="AO20">
        <v>0</v>
      </c>
      <c r="AP20">
        <v>1</v>
      </c>
      <c r="AQ20">
        <v>4</v>
      </c>
      <c r="AR20">
        <v>0</v>
      </c>
      <c r="AS20">
        <v>4</v>
      </c>
      <c r="AT20">
        <v>1</v>
      </c>
      <c r="AU20">
        <v>0</v>
      </c>
      <c r="AV20">
        <v>1</v>
      </c>
      <c r="AW20">
        <v>4</v>
      </c>
      <c r="AX20">
        <v>0</v>
      </c>
      <c r="AY20">
        <v>4</v>
      </c>
      <c r="AZ20">
        <v>1</v>
      </c>
      <c r="BA20">
        <v>0</v>
      </c>
      <c r="BB20">
        <v>0</v>
      </c>
      <c r="BC20">
        <v>2</v>
      </c>
      <c r="BD20">
        <v>0</v>
      </c>
      <c r="BE20">
        <v>1</v>
      </c>
      <c r="BF20">
        <v>2</v>
      </c>
      <c r="BG20">
        <v>2</v>
      </c>
      <c r="BH20">
        <v>0</v>
      </c>
      <c r="BI20">
        <v>1</v>
      </c>
      <c r="BJ20">
        <v>4</v>
      </c>
      <c r="BK20">
        <v>0</v>
      </c>
      <c r="BL20">
        <v>4</v>
      </c>
      <c r="BM20">
        <v>1</v>
      </c>
      <c r="BN20">
        <v>0</v>
      </c>
      <c r="BO20">
        <v>2</v>
      </c>
      <c r="BP20">
        <v>0</v>
      </c>
      <c r="BQ20">
        <v>1</v>
      </c>
      <c r="BR20">
        <v>2</v>
      </c>
      <c r="BS20">
        <v>0</v>
      </c>
      <c r="BT20" s="46">
        <v>14</v>
      </c>
    </row>
    <row r="21" spans="2:72" x14ac:dyDescent="0.25">
      <c r="B21" t="str">
        <f>CONCATENATE(Překlady!$C$14,"_",Překlady!$C$15,"_",Překlady!$C$38,"_",Překlady!$C$35)</f>
        <v>rohový_ano_v rohu_vpravo</v>
      </c>
      <c r="C21" s="27">
        <v>3</v>
      </c>
      <c r="D21" s="27">
        <v>2</v>
      </c>
      <c r="E21" s="27">
        <v>3</v>
      </c>
      <c r="F21" s="27">
        <f>4+G7+H7</f>
        <v>4</v>
      </c>
      <c r="G21" s="209"/>
      <c r="H21" s="209"/>
      <c r="I21">
        <v>0</v>
      </c>
      <c r="J21">
        <v>2</v>
      </c>
      <c r="K21">
        <v>1</v>
      </c>
      <c r="L21">
        <v>1</v>
      </c>
      <c r="M21">
        <v>1</v>
      </c>
      <c r="N21">
        <v>1</v>
      </c>
      <c r="O21">
        <v>2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0</v>
      </c>
      <c r="W21">
        <v>1</v>
      </c>
      <c r="X21">
        <v>2</v>
      </c>
      <c r="Y21">
        <v>2</v>
      </c>
      <c r="Z21">
        <v>1</v>
      </c>
      <c r="AA21">
        <v>1</v>
      </c>
      <c r="AB21">
        <v>2</v>
      </c>
      <c r="AC21">
        <v>1</v>
      </c>
      <c r="AD21">
        <v>1</v>
      </c>
      <c r="AE21">
        <v>4</v>
      </c>
      <c r="AF21">
        <v>1</v>
      </c>
      <c r="AG21">
        <v>4</v>
      </c>
      <c r="AH21">
        <v>1</v>
      </c>
      <c r="AI21">
        <v>1</v>
      </c>
      <c r="AJ21">
        <v>1</v>
      </c>
      <c r="AK21">
        <v>4</v>
      </c>
      <c r="AL21">
        <v>1</v>
      </c>
      <c r="AM21">
        <v>4</v>
      </c>
      <c r="AN21">
        <v>1</v>
      </c>
      <c r="AO21">
        <v>1</v>
      </c>
      <c r="AP21">
        <v>1</v>
      </c>
      <c r="AQ21">
        <v>4</v>
      </c>
      <c r="AR21">
        <v>1</v>
      </c>
      <c r="AS21">
        <v>4</v>
      </c>
      <c r="AT21">
        <v>1</v>
      </c>
      <c r="AU21">
        <v>1</v>
      </c>
      <c r="AV21">
        <v>1</v>
      </c>
      <c r="AW21">
        <v>4</v>
      </c>
      <c r="AX21">
        <v>1</v>
      </c>
      <c r="AY21">
        <v>4</v>
      </c>
      <c r="AZ21">
        <v>1</v>
      </c>
      <c r="BA21">
        <v>1</v>
      </c>
      <c r="BB21">
        <v>0</v>
      </c>
      <c r="BC21">
        <v>2</v>
      </c>
      <c r="BD21">
        <v>1</v>
      </c>
      <c r="BE21">
        <v>1</v>
      </c>
      <c r="BF21">
        <v>2</v>
      </c>
      <c r="BG21">
        <v>2</v>
      </c>
      <c r="BH21">
        <v>1</v>
      </c>
      <c r="BI21">
        <v>1</v>
      </c>
      <c r="BJ21">
        <v>4</v>
      </c>
      <c r="BK21">
        <v>1</v>
      </c>
      <c r="BL21">
        <v>4</v>
      </c>
      <c r="BM21">
        <v>1</v>
      </c>
      <c r="BN21">
        <v>1</v>
      </c>
      <c r="BO21">
        <v>2</v>
      </c>
      <c r="BP21">
        <v>1</v>
      </c>
      <c r="BQ21">
        <v>1</v>
      </c>
      <c r="BR21">
        <v>2</v>
      </c>
      <c r="BS21">
        <v>1</v>
      </c>
      <c r="BT21" s="46">
        <v>15</v>
      </c>
    </row>
    <row r="22" spans="2:72" x14ac:dyDescent="0.25">
      <c r="B22" t="str">
        <f>CONCATENATE(Překlady!$C$14,"_",Překlady!$C$15,"_",Překlady!$C$38,"_",Překlady!$C$34)</f>
        <v>rohový_ano_v rohu_vlevo</v>
      </c>
      <c r="C22" s="27">
        <v>3</v>
      </c>
      <c r="D22" s="27">
        <v>2</v>
      </c>
      <c r="E22" s="27">
        <v>3</v>
      </c>
      <c r="F22" s="27">
        <f>4+G7+H7</f>
        <v>4</v>
      </c>
      <c r="G22" s="209"/>
      <c r="H22" s="209"/>
      <c r="I22">
        <v>0</v>
      </c>
      <c r="J22">
        <v>2</v>
      </c>
      <c r="K22">
        <v>1</v>
      </c>
      <c r="L22">
        <v>1</v>
      </c>
      <c r="M22">
        <v>1</v>
      </c>
      <c r="N22">
        <v>1</v>
      </c>
      <c r="O22">
        <v>2</v>
      </c>
      <c r="P22">
        <v>2</v>
      </c>
      <c r="Q22">
        <v>1</v>
      </c>
      <c r="R22">
        <v>1</v>
      </c>
      <c r="S22">
        <v>1</v>
      </c>
      <c r="T22">
        <v>2</v>
      </c>
      <c r="U22">
        <v>1</v>
      </c>
      <c r="V22">
        <v>0</v>
      </c>
      <c r="W22">
        <v>1</v>
      </c>
      <c r="X22">
        <v>2</v>
      </c>
      <c r="Y22">
        <v>2</v>
      </c>
      <c r="Z22">
        <v>1</v>
      </c>
      <c r="AA22">
        <v>1</v>
      </c>
      <c r="AB22">
        <v>2</v>
      </c>
      <c r="AC22">
        <v>1</v>
      </c>
      <c r="AD22">
        <v>1</v>
      </c>
      <c r="AE22">
        <v>4</v>
      </c>
      <c r="AF22">
        <v>1</v>
      </c>
      <c r="AG22">
        <v>4</v>
      </c>
      <c r="AH22">
        <v>1</v>
      </c>
      <c r="AI22">
        <v>1</v>
      </c>
      <c r="AJ22">
        <v>1</v>
      </c>
      <c r="AK22">
        <v>4</v>
      </c>
      <c r="AL22">
        <v>1</v>
      </c>
      <c r="AM22">
        <v>4</v>
      </c>
      <c r="AN22">
        <v>1</v>
      </c>
      <c r="AO22">
        <v>1</v>
      </c>
      <c r="AP22">
        <v>1</v>
      </c>
      <c r="AQ22">
        <v>4</v>
      </c>
      <c r="AR22">
        <v>1</v>
      </c>
      <c r="AS22">
        <v>4</v>
      </c>
      <c r="AT22">
        <v>1</v>
      </c>
      <c r="AU22">
        <v>1</v>
      </c>
      <c r="AV22">
        <v>1</v>
      </c>
      <c r="AW22">
        <v>4</v>
      </c>
      <c r="AX22">
        <v>1</v>
      </c>
      <c r="AY22">
        <v>4</v>
      </c>
      <c r="AZ22">
        <v>1</v>
      </c>
      <c r="BA22">
        <v>1</v>
      </c>
      <c r="BB22">
        <v>0</v>
      </c>
      <c r="BC22">
        <v>2</v>
      </c>
      <c r="BD22">
        <v>1</v>
      </c>
      <c r="BE22">
        <v>1</v>
      </c>
      <c r="BF22">
        <v>2</v>
      </c>
      <c r="BG22">
        <v>2</v>
      </c>
      <c r="BH22">
        <v>1</v>
      </c>
      <c r="BI22">
        <v>1</v>
      </c>
      <c r="BJ22">
        <v>4</v>
      </c>
      <c r="BK22">
        <v>1</v>
      </c>
      <c r="BL22">
        <v>4</v>
      </c>
      <c r="BM22">
        <v>1</v>
      </c>
      <c r="BN22">
        <v>1</v>
      </c>
      <c r="BO22">
        <v>2</v>
      </c>
      <c r="BP22">
        <v>1</v>
      </c>
      <c r="BQ22">
        <v>1</v>
      </c>
      <c r="BR22">
        <v>2</v>
      </c>
      <c r="BS22">
        <v>1</v>
      </c>
      <c r="BT22" s="46">
        <v>16</v>
      </c>
    </row>
    <row r="23" spans="2:72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IF(Sestava3!$G$110=I5,INDEX(I7:I22,$B$23),0)</f>
        <v>0</v>
      </c>
      <c r="J23" s="46" cm="1">
        <f t="array" ref="J23">IF(Sestava3!$G$110=I5,INDEX(J7:J22,$B$23),0)</f>
        <v>0</v>
      </c>
      <c r="K23" s="46" cm="1">
        <f t="array" ref="K23">IF(Sestava3!$G$110=I5,INDEX(K7:K22,$B$23),0)</f>
        <v>0</v>
      </c>
      <c r="L23" s="46" cm="1">
        <f t="array" ref="L23">IF(Sestava3!$G$110=I5,INDEX(L7:L22,$B$23),0)</f>
        <v>0</v>
      </c>
      <c r="M23" s="46" cm="1">
        <f t="array" ref="M23">IF(AND(Sestava3!$G$110=M5,Sestava3!$W$112=1),INDEX(M7:M22,$B$23),0)</f>
        <v>0</v>
      </c>
      <c r="N23" s="46" cm="1">
        <f t="array" ref="N23">IF(AND(Sestava3!$G$110=M5,Sestava3!$W$112=1),INDEX(N7:N22,$B$23),0)</f>
        <v>0</v>
      </c>
      <c r="O23" s="46" cm="1">
        <f t="array" ref="O23">IF(AND(Sestava3!$G$110=M5,Sestava3!$W$112=1),INDEX(O7:O22,$B$23),0)</f>
        <v>0</v>
      </c>
      <c r="P23" s="46" cm="1">
        <f t="array" ref="P23">IF(AND(Sestava3!$G$110=P5,Sestava3!$W$112=2),INDEX(P7:P22,$B$23),0)</f>
        <v>0</v>
      </c>
      <c r="Q23" s="46" cm="1">
        <f t="array" ref="Q23">IF(AND(Sestava3!$G$110=P5,Sestava3!$W$112=2),INDEX(Q7:Q22,$B$23),0)</f>
        <v>0</v>
      </c>
      <c r="R23" s="46" cm="1">
        <f t="array" ref="R23">IF(AND(Sestava3!$G$110=P5,Sestava3!$W$112=2),INDEX(R7:R22,$B$23),0)</f>
        <v>0</v>
      </c>
      <c r="S23" s="46" cm="1">
        <f t="array" ref="S23">IF(AND(Sestava3!$G$110=$S$5,Sestava3!$W$112=1),INDEX(S7:S22,$B$23),0)</f>
        <v>0</v>
      </c>
      <c r="T23" s="46" cm="1">
        <f t="array" ref="T23">IF(AND(Sestava3!$G$110=$S$5,Sestava3!$W$112=1),INDEX(T7:T22,$B$23),0)</f>
        <v>0</v>
      </c>
      <c r="U23" s="46" cm="1">
        <f t="array" ref="U23">IF(AND(Sestava3!$G$110=$S$5,Sestava3!$W$112=1),INDEX(U7:U22,$B$23),0)</f>
        <v>0</v>
      </c>
      <c r="V23" s="46" cm="1">
        <f t="array" ref="V23">IF(AND(Sestava3!$G$110=$S$5,Sestava3!$W$112=1),INDEX(V7:V22,$B$23),0)</f>
        <v>0</v>
      </c>
      <c r="W23" s="46" cm="1">
        <f t="array" ref="W23">IF(AND(Sestava3!$G$110=$W$5,Sestava3!$W$112=2),INDEX(W7:W22,$B$23),0)</f>
        <v>0</v>
      </c>
      <c r="X23" s="46" cm="1">
        <f t="array" ref="X23">IF(AND(Sestava3!$G$110=$W$5,Sestava3!$W$112=2),INDEX(X7:X22,$B$23),0)</f>
        <v>0</v>
      </c>
      <c r="Y23" s="46" cm="1">
        <f t="array" ref="Y23">IF(AND(Sestava3!$G$114=Y2,Sestava3!$W$114=Překlady!C97),INDEX(Y7:Y22,$B$23),0)</f>
        <v>0</v>
      </c>
      <c r="Z23" s="46" cm="1">
        <f t="array" ref="Z23">IF(AND(Sestava3!$G$114=Y2,Sestava3!$W$114=Překlady!C97),INDEX(Z7:Z22,$B$23),0)</f>
        <v>0</v>
      </c>
      <c r="AA23" s="46" cm="1">
        <f t="array" ref="AA23">IF(AND(Sestava3!$G$114=$AA$2,Sestava3!$W$114=Překlady!C98),INDEX(AA7:AA22,$B$23),0)</f>
        <v>0</v>
      </c>
      <c r="AB23" s="46" cm="1">
        <f t="array" ref="AB23">IF(AND(Sestava3!$G$114=$AA$2,Sestava3!$W$114=Překlady!C98),INDEX(AB7:AB22,$B$23),0)</f>
        <v>0</v>
      </c>
      <c r="AC23" s="46" cm="1">
        <f t="array" ref="AC23">IF(AND(Sestava3!$G$114=$AA$2,Sestava3!$W$114=Překlady!C98),INDEX(AC7:AC22,$B$23),0)</f>
        <v>0</v>
      </c>
      <c r="AD23" s="46" cm="1">
        <f t="array" ref="AD23">IF(AND(Sestava3!$G$114=$AD$2,Sestava3!$W$114=Překlady!C97),INDEX(AD7:AD22,$B$23),0)</f>
        <v>0</v>
      </c>
      <c r="AE23" s="46" cm="1">
        <f t="array" ref="AE23">IF(AND(Sestava3!$G$114=$AD$2,Sestava3!$W$114=Překlady!C97),INDEX(AE7:AE22,$B$23),0)</f>
        <v>0</v>
      </c>
      <c r="AF23" s="46" cm="1">
        <f t="array" ref="AF23">IF(AND(Sestava3!$G$114=$AD$2,Sestava3!$W$114=Překlady!C97),INDEX(AF7:AF22,$B$23),0)</f>
        <v>0</v>
      </c>
      <c r="AG23" s="46" t="e" cm="1">
        <f t="array" ref="AG23">IF(AND(Sestava3!$G$114=$AG$2,Sestava3!$W$114=Překlady!C98),INDEX(AG7:AG22,$B$23),0)</f>
        <v>#REF!</v>
      </c>
      <c r="AH23" s="46" t="e" cm="1">
        <f t="array" ref="AH23">IF(AND(Sestava3!$G$114=$AG$2,Sestava3!$W$114=Překlady!C98),INDEX(AH7:AH22,$B$23),0)</f>
        <v>#REF!</v>
      </c>
      <c r="AI23" s="46" t="e" cm="1">
        <f t="array" ref="AI23">IF(AND(Sestava3!$G$114=$AG$2,Sestava3!$W$114=Překlady!C98),INDEX(AI7:AI22,$B$23),0)</f>
        <v>#REF!</v>
      </c>
      <c r="AJ23" s="46" cm="1">
        <f t="array" ref="AJ23">IF(AND(Sestava3!$G$112=$AJ$2,Sestava3!$W$112=1),INDEX(AJ7:AJ22,$B$23),0)</f>
        <v>0</v>
      </c>
      <c r="AK23" s="46" cm="1">
        <f t="array" ref="AK23">IF(AND(Sestava3!$G$112=$AJ$2,Sestava3!$W$112=1),INDEX(AK7:AK22,$B$23),0)</f>
        <v>0</v>
      </c>
      <c r="AL23" s="46" cm="1">
        <f t="array" ref="AL23">IF(AND(Sestava3!$G$112=$AJ$2,Sestava3!$W$112=1),INDEX(AL7:AL22,$B$23),0)</f>
        <v>0</v>
      </c>
      <c r="AM23" s="46" cm="1">
        <f t="array" ref="AM23">IF(AND(Sestava3!$G$112=$AM$2,Sestava3!$W$112=2),INDEX(AM7:AM22,$B$23),0)</f>
        <v>0</v>
      </c>
      <c r="AN23" s="46" cm="1">
        <f t="array" ref="AN23">IF(AND(Sestava3!$G$112=$AM$2,Sestava3!$W$112=2),INDEX(AN7:AN22,$B$23),0)</f>
        <v>0</v>
      </c>
      <c r="AO23" s="46" cm="1">
        <f t="array" ref="AO23">IF(AND(Sestava3!$G$112=$AM$2,Sestava3!$W$112=2),INDEX(AO7:AO22,$B$23),0)</f>
        <v>0</v>
      </c>
      <c r="AP23" s="46" cm="1">
        <f t="array" ref="AP23">IF(AND(Sestava3!$G$112=$AP$2,Sestava3!$W$112=1),INDEX(AP7:AP22,$B$23),0)</f>
        <v>0</v>
      </c>
      <c r="AQ23" s="46" cm="1">
        <f t="array" ref="AQ23">IF(AND(Sestava3!$G$112=$AP$2,Sestava3!$W$112=1),INDEX(AQ7:AQ22,$B$23),0)</f>
        <v>0</v>
      </c>
      <c r="AR23" s="46" cm="1">
        <f t="array" ref="AR23">IF(AND(Sestava3!$G$112=$AP$2,Sestava3!$W$112=1),INDEX(AR7:AR22,$B$23),0)</f>
        <v>0</v>
      </c>
      <c r="AS23" s="46" cm="1">
        <f t="array" ref="AS23">IF(AND(Sestava3!$G$112=$AS$2,Sestava3!$W$112=2),INDEX(AS7:AS22,$B$23),0)</f>
        <v>0</v>
      </c>
      <c r="AT23" s="46" cm="1">
        <f t="array" ref="AT23">IF(AND(Sestava3!$G$112=$AS$2,Sestava3!$W$112=2),INDEX(AT7:AT22,$B$23),0)</f>
        <v>0</v>
      </c>
      <c r="AU23" s="46" cm="1">
        <f t="array" ref="AU23">IF(AND(Sestava3!$G$112=$AS$2,Sestava3!$W$112=2),INDEX(AU7:AU22,$B$23),0)</f>
        <v>0</v>
      </c>
      <c r="AV23" s="46" cm="1">
        <f t="array" ref="AV23">IF(AND(Sestava3!$G$112=$AV$2,Sestava3!$W$112=1),INDEX(AV7:AV22,$B$23),0)</f>
        <v>0</v>
      </c>
      <c r="AW23" s="46" cm="1">
        <f t="array" ref="AW23">IF(AND(Sestava3!$G$112=$AV$2,Sestava3!$W$112=1),INDEX(AW7:AW22,$B$23),0)</f>
        <v>0</v>
      </c>
      <c r="AX23" s="46" cm="1">
        <f t="array" ref="AX23">IF(AND(Sestava3!$G$112=$AV$2,Sestava3!$W$112=1),INDEX(AX7:AX22,$B$23),0)</f>
        <v>0</v>
      </c>
      <c r="AY23" s="46" t="e" cm="1">
        <f t="array" ref="AY23">IF(AND(Sestava3!$G$112=$AY$2,Sestava3!$W$112=2),INDEX(AY7:AY22,$B$23),0)</f>
        <v>#REF!</v>
      </c>
      <c r="AZ23" s="46" t="e" cm="1">
        <f t="array" ref="AZ23">IF(AND(Sestava3!$G$112=$AY$2,Sestava3!$W$112=2),INDEX(AZ7:AZ22,$B$23),0)</f>
        <v>#REF!</v>
      </c>
      <c r="BA23" s="46" t="e" cm="1">
        <f t="array" ref="BA23">IF(AND(Sestava3!$G$112=$AY$2,Sestava3!$W$112=2),INDEX(BA7:BA22,$B$23),0)</f>
        <v>#REF!</v>
      </c>
      <c r="BB23" s="46" cm="1">
        <f t="array" ref="BB23">IF(AND(Sestava3!$G$112=$BB$2,Sestava3!$W$112=1),INDEX(BB7:BB22,$B$23),0)</f>
        <v>0</v>
      </c>
      <c r="BC23" s="46" cm="1">
        <f t="array" ref="BC23">IF(AND(Sestava3!$G$112=$BB$2,Sestava3!$W$112=1),INDEX(BC7:BC22,$B$23),0)</f>
        <v>0</v>
      </c>
      <c r="BD23" s="46" cm="1">
        <f t="array" ref="BD23">IF(AND(Sestava3!$G$112=$BB$2,Sestava3!$W$112=1),INDEX(BD7:BD22,$B$23),0)</f>
        <v>0</v>
      </c>
      <c r="BE23" s="46" cm="1">
        <f t="array" ref="BE23">IF(AND(Sestava3!$G$112=$BB$2,Sestava3!$W$112=1),INDEX(BE7:BE22,$B$23),0)</f>
        <v>0</v>
      </c>
      <c r="BF23" s="46" cm="1">
        <f t="array" ref="BF23">IF(AND(Sestava3!$G$112=$BF$2,Sestava3!$W$112=2),INDEX(BF7:BF22,$B$23),0)</f>
        <v>0</v>
      </c>
      <c r="BG23" s="46" cm="1">
        <f t="array" ref="BG23">IF(AND(Sestava3!$G$112=$BF$2,Sestava3!$W$112=2),INDEX(BG7:BG22,$B$23),0)</f>
        <v>0</v>
      </c>
      <c r="BH23" s="46" cm="1">
        <f t="array" ref="BH23">IF(AND(Sestava3!$G$112=$BF$2,Sestava3!$W$112=2),INDEX(BH7:BH22,$B$23),0)</f>
        <v>0</v>
      </c>
      <c r="BI23" s="46" cm="1">
        <f t="array" ref="BI23">IF(AND(Sestava3!$G$112=$BF$2,Sestava3!$W$112=2),INDEX(BI7:BI22,$B$23),0)</f>
        <v>0</v>
      </c>
      <c r="BJ23" s="46" cm="1">
        <f t="array" ref="BJ23">IF(AND(Sestava3!$G$112=$BJ$2,Sestava3!$W$112=1),INDEX(BJ7:BJ22,$B$23),0)</f>
        <v>0</v>
      </c>
      <c r="BK23" s="46" cm="1">
        <f t="array" ref="BK23">IF(AND(Sestava3!$G$112=$BJ$2,Sestava3!$W$112=1),INDEX(BK7:BK22,$B$23),0)</f>
        <v>0</v>
      </c>
      <c r="BL23" s="46" cm="1">
        <f t="array" ref="BL23">IF(AND(Sestava3!$G$112=$BL$2,Sestava3!$W$112=2),INDEX(BL7:BL22,$B$23),0)</f>
        <v>0</v>
      </c>
      <c r="BM23" s="46" cm="1">
        <f t="array" ref="BM23">IF(AND(Sestava3!$G$112=$BL$2,Sestava3!$W$112=2),INDEX(BM7:BM22,$B$23),0)</f>
        <v>0</v>
      </c>
      <c r="BN23" s="46" cm="1">
        <f t="array" ref="BN23">IF(AND(Sestava3!$G$112=$BL$2,Sestava3!$W$112=2),INDEX(BN7:BN22,$B$23),0)</f>
        <v>0</v>
      </c>
      <c r="BO23" s="46" cm="1">
        <f t="array" ref="BO23">IF(AND(Sestava3!$G$112=$BO$2,Sestava3!$W$112=1),INDEX(BO7:BO22,$B$23),0)</f>
        <v>0</v>
      </c>
      <c r="BP23" s="46" cm="1">
        <f t="array" ref="BP23">IF(AND(Sestava3!$G$112=$BO$2,Sestava3!$W$112=1),INDEX(BP7:BP22,$B$23),0)</f>
        <v>0</v>
      </c>
      <c r="BQ23" s="46" cm="1">
        <f t="array" ref="BQ23">IF(AND(Sestava3!$G$112=$BQ$2,Sestava3!$W$112=2),INDEX(BQ7:BQ22,$B$23),0)</f>
        <v>0</v>
      </c>
      <c r="BR23" s="46" cm="1">
        <f t="array" ref="BR23">IF(AND(Sestava3!$G$112=$BQ$2,Sestava3!$W$112=2),INDEX(BR7:BR22,$B$23),0)</f>
        <v>0</v>
      </c>
      <c r="BS23" s="46" cm="1">
        <f t="array" ref="BS23">IF(AND(Sestava3!$G$112=$BQ$2,Sestava3!$W$112=2),INDEX(BS7:BS22,$B$23),0)</f>
        <v>0</v>
      </c>
    </row>
    <row r="25" spans="2:72" x14ac:dyDescent="0.25">
      <c r="C25" s="27">
        <v>1</v>
      </c>
      <c r="D25" s="27" t="s">
        <v>5827</v>
      </c>
    </row>
    <row r="26" spans="2:72" x14ac:dyDescent="0.25">
      <c r="C26" s="27">
        <v>3</v>
      </c>
      <c r="D26" s="27" t="s">
        <v>5828</v>
      </c>
    </row>
    <row r="27" spans="2:72" x14ac:dyDescent="0.25">
      <c r="C27" s="27">
        <v>2</v>
      </c>
      <c r="D27" s="27" t="s">
        <v>5829</v>
      </c>
    </row>
    <row r="29" spans="2:72" x14ac:dyDescent="0.25">
      <c r="C29">
        <f>COUNTIF($I$23:$BS$23,"&gt;0")</f>
        <v>0</v>
      </c>
    </row>
    <row r="30" spans="2:72" x14ac:dyDescent="0.25">
      <c r="E30" t="str">
        <f>IF($C$29&gt;0,HLOOKUP(1,$I$1:$BS$6,6,0),"")</f>
        <v/>
      </c>
      <c r="F30" t="str">
        <f>IF($C$29&gt;0,HLOOKUP(1,$I$1:$BS$22,6+$B$23,0),"")</f>
        <v/>
      </c>
    </row>
    <row r="31" spans="2:72" x14ac:dyDescent="0.25">
      <c r="E31" t="str">
        <f>IF($C$29&gt;1,HLOOKUP(2,$I$1:$BS$6,6,0),"")</f>
        <v/>
      </c>
      <c r="F31" t="str">
        <f>IF($C$29&gt;1,HLOOKUP(2,$I$1:$BS$22,6+$B$23,0),"")</f>
        <v/>
      </c>
    </row>
    <row r="32" spans="2:72" x14ac:dyDescent="0.25">
      <c r="E32" t="str">
        <f>IF($C$29&gt;2,HLOOKUP(3,$G$1:$BS$6,6,0),"")</f>
        <v/>
      </c>
      <c r="F32" t="str">
        <f>IF($C$29&gt;2,HLOOKUP(3,$G$1:$BS$22,6+$B$23,0),"")</f>
        <v/>
      </c>
    </row>
    <row r="33" spans="1:6" x14ac:dyDescent="0.25">
      <c r="E33" t="str">
        <f>IF($C$29&gt;3,HLOOKUP(4,$G$1:$BS$6,6,0),"")</f>
        <v/>
      </c>
      <c r="F33" t="str">
        <f>IF($C$29&gt;3,HLOOKUP(4,$G$1:$BS$22,6+$B$23,0),"")</f>
        <v/>
      </c>
    </row>
    <row r="36" spans="1:6" x14ac:dyDescent="0.25">
      <c r="D36" t="s">
        <v>5784</v>
      </c>
      <c r="E36" t="s">
        <v>5785</v>
      </c>
    </row>
    <row r="37" spans="1:6" x14ac:dyDescent="0.25">
      <c r="A37" t="e">
        <f>CONCATENATE(Překlady!$C$85,"_",F37,)</f>
        <v>#N/A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 t="e">
        <f>IF(D37&gt;=Sestava3!$AM$120,1,0)</f>
        <v>#N/A</v>
      </c>
    </row>
    <row r="38" spans="1:6" x14ac:dyDescent="0.25">
      <c r="A38" t="e">
        <f>CONCATENATE(Překlady!$C$85,"_",F38,)</f>
        <v>#N/A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 t="e">
        <f>IF(D38&gt;=Sestava3!$AM$120,1+F37,0)</f>
        <v>#N/A</v>
      </c>
    </row>
    <row r="39" spans="1:6" x14ac:dyDescent="0.25">
      <c r="A39" t="e">
        <f>CONCATENATE(Překlady!$C$85,"_",F39,)</f>
        <v>#N/A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 t="e">
        <f>IF(D39&gt;=Sestava3!$AM$120,1+MAX($F$37:F38),0)</f>
        <v>#N/A</v>
      </c>
    </row>
    <row r="40" spans="1:6" x14ac:dyDescent="0.25">
      <c r="A40" t="e">
        <f>CONCATENATE(Překlady!$C$85,"_",F40,)</f>
        <v>#N/A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 t="e">
        <f>IF(D40&gt;=Sestava3!$AM$120,1+MAX($F$37:F39),0)</f>
        <v>#N/A</v>
      </c>
    </row>
    <row r="41" spans="1:6" x14ac:dyDescent="0.25">
      <c r="A41" t="e">
        <f>CONCATENATE(Překlady!$C$85,"_",F41,)</f>
        <v>#N/A</v>
      </c>
      <c r="B41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 t="e">
        <f>IF(D41&gt;=Sestava3!$AM$120,1+MAX($F$37:F40),0)</f>
        <v>#N/A</v>
      </c>
    </row>
    <row r="42" spans="1:6" x14ac:dyDescent="0.25">
      <c r="A42" t="e">
        <f>CONCATENATE(Překlady!$C$85,"_",F42,)</f>
        <v>#N/A</v>
      </c>
      <c r="B42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 t="e">
        <f>IF(D42&gt;=Sestava3!$AM$120,1+MAX($F$37:F41),0)</f>
        <v>#N/A</v>
      </c>
    </row>
    <row r="43" spans="1:6" x14ac:dyDescent="0.25">
      <c r="A43" t="e">
        <f>CONCATENATE(Překlady!$C$85,"_",F43,)</f>
        <v>#N/A</v>
      </c>
      <c r="B43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 t="e">
        <f>IF(D43&gt;=Sestava3!$AM$120,1+MAX($F$37:F42),0)</f>
        <v>#N/A</v>
      </c>
    </row>
    <row r="46" spans="1:6" x14ac:dyDescent="0.25">
      <c r="A46" t="e">
        <f>CONCATENATE(Překlady!$C$86,"_",F46)</f>
        <v>#N/A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 t="e">
        <f>IF(D46&gt;=Sestava3!$AM$120,1,0)</f>
        <v>#N/A</v>
      </c>
    </row>
    <row r="47" spans="1:6" x14ac:dyDescent="0.25">
      <c r="A47" t="e">
        <f>CONCATENATE(Překlady!$C$86,"_",F47)</f>
        <v>#N/A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 t="e">
        <f>IF(D47&gt;=Sestava3!$AM$120,1+F46,0)</f>
        <v>#N/A</v>
      </c>
    </row>
    <row r="48" spans="1:6" x14ac:dyDescent="0.25">
      <c r="A48" t="e">
        <f>CONCATENATE(Překlady!$C$86,"_",F48)</f>
        <v>#N/A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 t="e">
        <f>IF(D48&gt;=Sestava3!$AM$120,1+MAX($F$46:F47),0)</f>
        <v>#N/A</v>
      </c>
    </row>
    <row r="49" spans="1:6" x14ac:dyDescent="0.25">
      <c r="A49" t="e">
        <f>CONCATENATE(Překlady!$C$86,"_",F49)</f>
        <v>#N/A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 t="e">
        <f>IF(D49&gt;=Sestava3!$AM$120,1+MAX($F$46:F48),0)</f>
        <v>#N/A</v>
      </c>
    </row>
    <row r="50" spans="1:6" x14ac:dyDescent="0.25">
      <c r="A50" t="e">
        <f>CONCATENATE(Překlady!$C$86,"_",F50)</f>
        <v>#N/A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 t="e">
        <f>IF(D50&gt;=Sestava3!$AM$120,1+MAX($F$46:F49),0)</f>
        <v>#N/A</v>
      </c>
    </row>
    <row r="51" spans="1:6" x14ac:dyDescent="0.25">
      <c r="A51" t="e">
        <f>CONCATENATE(Překlady!$C$86,"_",F51)</f>
        <v>#N/A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 t="e">
        <f>IF(D51&gt;=Sestava3!$AM$120,1+MAX($F$46:F50),0)</f>
        <v>#N/A</v>
      </c>
    </row>
    <row r="52" spans="1:6" x14ac:dyDescent="0.25">
      <c r="A52" t="e">
        <f>CONCATENATE(Překlady!$C$86,"_",F52)</f>
        <v>#N/A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 t="e">
        <f>IF(D52&gt;=Sestava3!$AM$120,1+MAX($F$46:F51),0)</f>
        <v>#N/A</v>
      </c>
    </row>
    <row r="53" spans="1:6" x14ac:dyDescent="0.25">
      <c r="A53" t="e">
        <f>CONCATENATE(Překlady!$C$86,"_",F53)</f>
        <v>#N/A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 t="e">
        <f>IF(D53&gt;=Sestava3!$AM$120,1+MAX($F$46:F52),0)</f>
        <v>#N/A</v>
      </c>
    </row>
    <row r="54" spans="1:6" x14ac:dyDescent="0.25">
      <c r="A54" t="e">
        <f>CONCATENATE(Překlady!$C$86,"_",F54)</f>
        <v>#N/A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 t="e">
        <f>IF(D54&gt;=Sestava3!$AM$120,1+MAX($F$46:F53),0)</f>
        <v>#N/A</v>
      </c>
    </row>
    <row r="55" spans="1:6" x14ac:dyDescent="0.25">
      <c r="A55" t="e">
        <f>CONCATENATE(Překlady!$C$86,"_",F55)</f>
        <v>#N/A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 t="e">
        <f>IF(D55&gt;=Sestava3!$AM$120,1+MAX($F$46:F54),0)</f>
        <v>#N/A</v>
      </c>
    </row>
    <row r="57" spans="1:6" x14ac:dyDescent="0.25">
      <c r="C57" s="70" t="s">
        <v>5784</v>
      </c>
      <c r="D57" s="70" t="s">
        <v>5785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IF(Produkty!$B$214=Sestava3!$G$114,Produkty!$E$214,IF(Produkty!$B$215=Sestava3!$G$114,Produkty!$E$215,IF(Produkty!$B$216=Sestava3!$G$114,Produkty!$E$216,0)))</f>
        <v>0</v>
      </c>
      <c r="D78" s="30">
        <f>IF(Produkty!$B$214=Sestava3!$G$114,Produkty!$F$214,IF(Produkty!$B$215=Sestava3!$G$114,Produkty!$F$215,IF(Produkty!$B$216=Sestava3!$G$114,Produkty!$F$216,0)))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IF(Produkty!$B$214=Sestava3!$G$114,Produkty!$E$214,IF(Produkty!$B$215=Sestava3!$G$114,Produkty!$E$215,IF(Produkty!$B$216=Sestava3!$G$114,Produkty!$E$216,0)))</f>
        <v>0</v>
      </c>
      <c r="D79" s="30">
        <f>IF(Produkty!$B$214=Sestava3!$G$114,Produkty!$F$214,IF(Produkty!$B$215=Sestava3!$G$114,Produkty!$F$215,IF(Produkty!$B$216=Sestava3!$G$114,Produkty!$F$216,0)))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IF(Produkty!$B$214=Sestava3!$G$114,Produkty!$E$214,IF(Produkty!$B$215=Sestava3!$G$114,Produkty!$E$215,IF(Produkty!$B$216=Sestava3!$G$114,Produkty!$E$216,0)))</f>
        <v>0</v>
      </c>
      <c r="D80" s="30">
        <f>IF(Produkty!$B$214=Sestava3!$G$114,Produkty!$F$214,IF(Produkty!$B$215=Sestava3!$G$114,Produkty!$F$215,IF(Produkty!$B$216=Sestava3!$G$114,Produkty!$F$216,0)))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IF(Produkty!$B$214=Sestava3!$G$114,Produkty!$E$214,IF(Produkty!$B$215=Sestava3!$G$114,Produkty!$E$215,IF(Produkty!$B$216=Sestava3!$G$114,Produkty!$E$216,0)))</f>
        <v>0</v>
      </c>
      <c r="D81" s="30">
        <f>IF(Produkty!$B$214=Sestava3!$G$114,Produkty!$F$214,IF(Produkty!$B$215=Sestava3!$G$114,Produkty!$F$215,IF(Produkty!$B$216=Sestava3!$G$114,Produkty!$F$216,0)))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IF(Produkty!$B$214=Sestava3!$G$114,Produkty!$E$214,IF(Produkty!$B$215=Sestava3!$G$114,Produkty!$E$215,IF(Produkty!$B$216=Sestava3!$G$114,Produkty!$E$216,0)))</f>
        <v>0</v>
      </c>
      <c r="D82" s="30">
        <f>IF(Produkty!$B$214=Sestava3!$G$114,Produkty!$F$214,IF(Produkty!$B$215=Sestava3!$G$114,Produkty!$F$215,IF(Produkty!$B$216=Sestava3!$G$114,Produkty!$F$216,0)))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IF(Produkty!$B$214=Sestava3!$G$114,Produkty!$E$214,IF(Produkty!$B$215=Sestava3!$G$114,Produkty!$E$215,IF(Produkty!$B$216=Sestava3!$G$114,Produkty!$E$216,0)))</f>
        <v>0</v>
      </c>
      <c r="D83" s="30">
        <f>IF(Produkty!$B$214=Sestava3!$G$114,Produkty!$F$214,IF(Produkty!$B$215=Sestava3!$G$114,Produkty!$F$215,IF(Produkty!$B$216=Sestava3!$G$114,Produkty!$F$216,0)))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IF(Produkty!$B$214=Sestava3!$G$114,Produkty!$E$214,IF(Produkty!$B$215=Sestava3!$G$114,Produkty!$E$215,IF(Produkty!$B$216=Sestava3!$G$114,Produkty!$E$216,0)))</f>
        <v>0</v>
      </c>
      <c r="D84" s="30">
        <f>IF(Produkty!$B$214=Sestava3!$G$114,Produkty!$F$214,IF(Produkty!$B$215=Sestava3!$G$114,Produkty!$F$215,IF(Produkty!$B$216=Sestava3!$G$114,Produkty!$F$216,0)))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IF(Produkty!$B$214=Sestava3!$G$114,Produkty!$E$214,IF(Produkty!$B$215=Sestava3!$G$114,Produkty!$E$215,IF(Produkty!$B$216=Sestava3!$G$114,Produkty!$E$216,0)))</f>
        <v>0</v>
      </c>
      <c r="D85" s="30">
        <f>IF(Produkty!$B$214=Sestava3!$G$114,Produkty!$F$214,IF(Produkty!$B$215=Sestava3!$G$114,Produkty!$F$215,IF(Produkty!$B$216=Sestava3!$G$114,Produkty!$F$216,0)))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IF(Produkty!$B$214=Sestava3!$G$114,Produkty!$E$214,IF(Produkty!$B$215=Sestava3!$G$114,Produkty!$E$215,IF(Produkty!$B$216=Sestava3!$G$114,Produkty!$E$216,0)))</f>
        <v>0</v>
      </c>
      <c r="D86" s="30">
        <f>IF(Produkty!$B$214=Sestava3!$G$114,Produkty!$F$214,IF(Produkty!$B$215=Sestava3!$G$114,Produkty!$F$215,IF(Produkty!$B$216=Sestava3!$G$114,Produkty!$F$216,0)))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IF(Produkty!$B$214=Sestava3!$G$114,Produkty!$E$214,IF(Produkty!$B$215=Sestava3!$G$114,Produkty!$E$215,IF(Produkty!$B$216=Sestava3!$G$114,Produkty!$E$216,0)))</f>
        <v>0</v>
      </c>
      <c r="D87" s="30">
        <f>IF(Produkty!$B$214=Sestava3!$G$114,Produkty!$F$214,IF(Produkty!$B$215=Sestava3!$G$114,Produkty!$F$215,IF(Produkty!$B$216=Sestava3!$G$114,Produkty!$F$216,0)))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IF(Produkty!$B$214=Sestava3!$G$114,Produkty!$E$214,IF(Produkty!$B$215=Sestava3!$G$114,Produkty!$E$215,IF(Produkty!$B$216=Sestava3!$G$114,Produkty!$E$216,0)))</f>
        <v>0</v>
      </c>
      <c r="D88" s="30">
        <f>IF(Produkty!$B$214=Sestava3!$G$114,Produkty!$F$214,IF(Produkty!$B$215=Sestava3!$G$114,Produkty!$F$215,IF(Produkty!$B$216=Sestava3!$G$114,Produkty!$F$216,0)))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IF(Produkty!$B$214=Sestava3!$G$114,Produkty!$E$214,IF(Produkty!$B$215=Sestava3!$G$114,Produkty!$E$215,IF(Produkty!$B$216=Sestava3!$G$114,Produkty!$E$216,0)))</f>
        <v>0</v>
      </c>
      <c r="D89" s="30">
        <f>IF(Produkty!$B$214=Sestava3!$G$114,Produkty!$F$214,IF(Produkty!$B$215=Sestava3!$G$114,Produkty!$F$215,IF(Produkty!$B$216=Sestava3!$G$114,Produkty!$F$216,0)))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IF(Produkty!$B$214=Sestava3!$G$114,Produkty!$E$214,IF(Produkty!$B$215=Sestava3!$G$114,Produkty!$E$215,IF(Produkty!$B$216=Sestava3!$G$114,Produkty!$E$216,0)))</f>
        <v>0</v>
      </c>
      <c r="D90" s="30">
        <f>IF(Produkty!$B$214=Sestava3!$G$114,Produkty!$F$214,IF(Produkty!$B$215=Sestava3!$G$114,Produkty!$F$215,IF(Produkty!$B$216=Sestava3!$G$114,Produkty!$F$216,0)))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IF(Produkty!$B$214=Sestava3!$G$114,Produkty!$E$214,IF(Produkty!$B$215=Sestava3!$G$114,Produkty!$E$215,IF(Produkty!$B$216=Sestava3!$G$114,Produkty!$E$216,0)))</f>
        <v>0</v>
      </c>
      <c r="D91" s="30">
        <f>IF(Produkty!$B$214=Sestava3!$G$114,Produkty!$F$214,IF(Produkty!$B$215=Sestava3!$G$114,Produkty!$F$215,IF(Produkty!$B$216=Sestava3!$G$114,Produkty!$F$216,0)))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IF(Produkty!$B$214=Sestava3!$G$114,Produkty!$E$214,IF(Produkty!$B$215=Sestava3!$G$114,Produkty!$E$215,IF(Produkty!$B$216=Sestava3!$G$114,Produkty!$E$216,0)))</f>
        <v>0</v>
      </c>
      <c r="D92" s="30">
        <f>IF(Produkty!$B$214=Sestava3!$G$114,Produkty!$F$214,IF(Produkty!$B$215=Sestava3!$G$114,Produkty!$F$215,IF(Produkty!$B$216=Sestava3!$G$114,Produkty!$F$216,0)))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IF(Produkty!B228=Sestava3!G114,Produkty!E228,IF(Produkty!B229=Sestava3!G114,Produkty!E229,0))</f>
        <v>0</v>
      </c>
      <c r="D98" s="30">
        <f>IF(Produkty!B228=Sestava3!G114,Produkty!F228,IF(Produkty!B229=Sestava3!G114,Produkty!F229,0))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IF(Produkty!B228=Sestava3!G114,Produkty!E228,IF(Produkty!B229=Sestava3!G114,Produkty!E229,0))</f>
        <v>0</v>
      </c>
      <c r="D99" s="30">
        <f>IF(Produkty!B228=Sestava3!G114,Produkty!F228,IF(Produkty!B229=Sestava3!G114,Produkty!F229,0))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1">
    <mergeCell ref="AL2:AL5"/>
    <mergeCell ref="AM2:AN5"/>
    <mergeCell ref="AO2:AO5"/>
    <mergeCell ref="Y2:Y5"/>
    <mergeCell ref="Z2:Z5"/>
    <mergeCell ref="AA2:AB5"/>
    <mergeCell ref="AC2:AC5"/>
    <mergeCell ref="AD2:AE5"/>
    <mergeCell ref="AF2:AF5"/>
    <mergeCell ref="C5:D5"/>
    <mergeCell ref="I5:L5"/>
    <mergeCell ref="N5:O5"/>
    <mergeCell ref="T5:V5"/>
    <mergeCell ref="BJ2:BJ5"/>
    <mergeCell ref="AY2:AZ5"/>
    <mergeCell ref="BA2:BA5"/>
    <mergeCell ref="BB2:BC5"/>
    <mergeCell ref="BD2:BE5"/>
    <mergeCell ref="BF2:BG5"/>
    <mergeCell ref="BH2:BI5"/>
    <mergeCell ref="AP2:AQ5"/>
    <mergeCell ref="AR2:AR5"/>
    <mergeCell ref="AS2:AT5"/>
    <mergeCell ref="AU2:AU5"/>
    <mergeCell ref="AV2:AW5"/>
    <mergeCell ref="G6:H6"/>
    <mergeCell ref="G7:G22"/>
    <mergeCell ref="H7:H22"/>
    <mergeCell ref="BQ2:BR5"/>
    <mergeCell ref="BS2:BS5"/>
    <mergeCell ref="X3:X5"/>
    <mergeCell ref="G4:H4"/>
    <mergeCell ref="BK2:BK5"/>
    <mergeCell ref="BL2:BM5"/>
    <mergeCell ref="BN2:BN5"/>
    <mergeCell ref="BO2:BO5"/>
    <mergeCell ref="BP2:BP5"/>
    <mergeCell ref="AX2:AX5"/>
    <mergeCell ref="AG2:AH5"/>
    <mergeCell ref="AI2:AI5"/>
    <mergeCell ref="AJ2:AK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A90A-6F50-4157-BC2B-581342F7DB6E}">
  <sheetPr>
    <tabColor theme="0" tint="-0.249977111117893"/>
  </sheetPr>
  <dimension ref="A1:CF147"/>
  <sheetViews>
    <sheetView showGridLines="0" showRowColHeaders="0" showZeros="0" zoomScaleNormal="100" workbookViewId="0">
      <pane ySplit="7" topLeftCell="A8" activePane="bottomLeft" state="frozen"/>
      <selection pane="bottomLeft" activeCell="G15" sqref="G15:O15"/>
    </sheetView>
  </sheetViews>
  <sheetFormatPr defaultColWidth="0" defaultRowHeight="14.4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8.28515625" style="7" customWidth="1"/>
    <col min="37" max="37" width="37.85546875" style="140" hidden="1" customWidth="1"/>
    <col min="38" max="38" width="13.42578125" style="7" hidden="1" customWidth="1"/>
    <col min="39" max="39" width="59.71093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16" t="str">
        <f>Překlady!$C$11&amp;" 4"</f>
        <v>Sestava 4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7"/>
      <c r="Z2" s="253" t="str">
        <f>Překlady!C7</f>
        <v>Úvod</v>
      </c>
      <c r="AA2" s="254"/>
      <c r="AB2" s="254"/>
      <c r="AC2" s="254"/>
      <c r="AD2" s="254"/>
      <c r="AE2" s="254"/>
      <c r="AF2" s="254"/>
      <c r="AG2" s="254"/>
      <c r="AH2" s="254"/>
      <c r="AI2" s="254"/>
      <c r="AJ2" s="28"/>
    </row>
    <row r="3" spans="1:42" ht="15" customHeight="1" x14ac:dyDescent="0.25">
      <c r="A3" s="25"/>
      <c r="B3" s="25"/>
      <c r="C3" s="25"/>
      <c r="D3" s="25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7"/>
      <c r="Z3" s="253"/>
      <c r="AA3" s="254"/>
      <c r="AB3" s="254"/>
      <c r="AC3" s="254"/>
      <c r="AD3" s="254"/>
      <c r="AE3" s="254"/>
      <c r="AF3" s="254"/>
      <c r="AG3" s="254"/>
      <c r="AH3" s="254"/>
      <c r="AI3" s="254"/>
      <c r="AJ3" s="28"/>
    </row>
    <row r="4" spans="1:42" ht="15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10" t="str">
        <f>Překlady!$C$11&amp;" 1"</f>
        <v>Sestava 1</v>
      </c>
      <c r="C5" s="210"/>
      <c r="D5" s="210"/>
      <c r="E5" s="210"/>
      <c r="H5" s="210" t="str">
        <f>Překlady!$C$11&amp;" 2"</f>
        <v>Sestava 2</v>
      </c>
      <c r="I5" s="210"/>
      <c r="J5" s="210"/>
      <c r="K5" s="210"/>
      <c r="L5" s="210"/>
      <c r="N5" s="210" t="str">
        <f>Překlady!$C$11&amp;" 3"</f>
        <v>Sestava 3</v>
      </c>
      <c r="O5" s="210"/>
      <c r="P5" s="210"/>
      <c r="Q5" s="210"/>
      <c r="R5" s="50"/>
      <c r="S5" s="210" t="str">
        <f>Překlady!$C$11&amp;" 4"</f>
        <v>Sestava 4</v>
      </c>
      <c r="T5" s="210"/>
      <c r="U5" s="210"/>
      <c r="V5" s="210"/>
      <c r="W5" s="210"/>
    </row>
    <row r="6" spans="1:42" ht="15" customHeight="1" x14ac:dyDescent="0.25">
      <c r="B6" s="210"/>
      <c r="C6" s="210"/>
      <c r="D6" s="210"/>
      <c r="E6" s="210"/>
      <c r="H6" s="210"/>
      <c r="I6" s="210"/>
      <c r="J6" s="210"/>
      <c r="K6" s="210"/>
      <c r="L6" s="210"/>
      <c r="N6" s="210"/>
      <c r="O6" s="210"/>
      <c r="P6" s="210"/>
      <c r="Q6" s="210"/>
      <c r="R6" s="50"/>
      <c r="S6" s="210"/>
      <c r="T6" s="210"/>
      <c r="U6" s="210"/>
      <c r="V6" s="210"/>
      <c r="W6" s="210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6"/>
      <c r="C10" s="147"/>
      <c r="D10" s="147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8"/>
      <c r="AI10" s="149"/>
    </row>
    <row r="11" spans="1:42" ht="15" customHeight="1" x14ac:dyDescent="0.25">
      <c r="B11" s="246" t="str">
        <f>Překlady!C54</f>
        <v>Definujte profil:</v>
      </c>
      <c r="C11" s="247"/>
      <c r="D11" s="247"/>
      <c r="E11" s="247"/>
      <c r="Q11" s="219" t="str">
        <f>Překlady!C42</f>
        <v>povrchová</v>
      </c>
      <c r="R11" s="220"/>
      <c r="S11" s="220"/>
      <c r="T11" s="220"/>
      <c r="U11" s="220"/>
      <c r="V11" s="220"/>
      <c r="W11" s="220"/>
      <c r="X11" s="221"/>
      <c r="Z11" s="255" t="str">
        <f>Překlady!C43</f>
        <v>k zafrézování</v>
      </c>
      <c r="AA11" s="256"/>
      <c r="AB11" s="256"/>
      <c r="AC11" s="256"/>
      <c r="AD11" s="256"/>
      <c r="AE11" s="256"/>
      <c r="AF11" s="256"/>
      <c r="AG11" s="256"/>
      <c r="AH11" s="256"/>
      <c r="AI11" s="257"/>
      <c r="AJ11" s="150"/>
    </row>
    <row r="12" spans="1:42" ht="15" customHeight="1" x14ac:dyDescent="0.25">
      <c r="B12" s="246"/>
      <c r="C12" s="247"/>
      <c r="D12" s="247"/>
      <c r="E12" s="247"/>
      <c r="Q12" s="222" t="s">
        <v>134</v>
      </c>
      <c r="R12" s="223"/>
      <c r="S12" s="223"/>
      <c r="T12" s="224"/>
      <c r="U12" s="225" t="s">
        <v>135</v>
      </c>
      <c r="V12" s="223"/>
      <c r="W12" s="223"/>
      <c r="X12" s="226"/>
      <c r="Z12" s="305" t="s">
        <v>136</v>
      </c>
      <c r="AA12" s="237"/>
      <c r="AB12" s="237"/>
      <c r="AC12" s="237"/>
      <c r="AD12" s="237"/>
      <c r="AE12" s="237"/>
      <c r="AF12" s="237"/>
      <c r="AG12" s="237"/>
      <c r="AH12" s="237"/>
      <c r="AI12" s="238"/>
      <c r="AJ12" s="102"/>
    </row>
    <row r="13" spans="1:42" ht="15" customHeight="1" x14ac:dyDescent="0.3">
      <c r="B13" s="104"/>
      <c r="H13" s="151"/>
      <c r="Q13" s="227"/>
      <c r="R13" s="228"/>
      <c r="S13" s="228"/>
      <c r="T13" s="229"/>
      <c r="U13" s="236"/>
      <c r="V13" s="237"/>
      <c r="W13" s="237"/>
      <c r="X13" s="238"/>
      <c r="Z13" s="213"/>
      <c r="AA13" s="213"/>
      <c r="AB13" s="213"/>
      <c r="AC13" s="213"/>
      <c r="AD13" s="213"/>
      <c r="AE13" s="213"/>
      <c r="AF13" s="213"/>
      <c r="AG13" s="213"/>
      <c r="AH13" s="213"/>
      <c r="AI13" s="263"/>
      <c r="AJ13" s="50"/>
    </row>
    <row r="14" spans="1:42" ht="15" customHeight="1" x14ac:dyDescent="0.3">
      <c r="B14" s="104"/>
      <c r="E14" s="153"/>
      <c r="F14" s="151"/>
      <c r="G14" s="151"/>
      <c r="H14" s="151"/>
      <c r="Q14" s="230"/>
      <c r="R14" s="231"/>
      <c r="S14" s="231"/>
      <c r="T14" s="232"/>
      <c r="U14" s="239"/>
      <c r="V14" s="240"/>
      <c r="W14" s="240"/>
      <c r="X14" s="241"/>
      <c r="Z14" s="213"/>
      <c r="AA14" s="213"/>
      <c r="AB14" s="213"/>
      <c r="AC14" s="213"/>
      <c r="AD14" s="213"/>
      <c r="AE14" s="213"/>
      <c r="AF14" s="213"/>
      <c r="AG14" s="213"/>
      <c r="AH14" s="213"/>
      <c r="AI14" s="263"/>
      <c r="AJ14" s="50"/>
    </row>
    <row r="15" spans="1:42" ht="15" customHeight="1" x14ac:dyDescent="0.25">
      <c r="B15" s="248" t="str">
        <f>Překlady!C47</f>
        <v>Montáž:</v>
      </c>
      <c r="C15" s="201"/>
      <c r="D15" s="201"/>
      <c r="E15" s="201"/>
      <c r="G15" s="203"/>
      <c r="H15" s="203"/>
      <c r="I15" s="203"/>
      <c r="J15" s="203"/>
      <c r="K15" s="203"/>
      <c r="L15" s="203"/>
      <c r="M15" s="203"/>
      <c r="N15" s="203"/>
      <c r="O15" s="203"/>
      <c r="Q15" s="230"/>
      <c r="R15" s="231"/>
      <c r="S15" s="231"/>
      <c r="T15" s="232"/>
      <c r="U15" s="239"/>
      <c r="V15" s="240"/>
      <c r="W15" s="240"/>
      <c r="X15" s="241"/>
      <c r="Z15" s="213"/>
      <c r="AA15" s="213"/>
      <c r="AB15" s="213"/>
      <c r="AC15" s="213"/>
      <c r="AD15" s="213"/>
      <c r="AE15" s="213"/>
      <c r="AF15" s="213"/>
      <c r="AG15" s="213"/>
      <c r="AH15" s="213"/>
      <c r="AI15" s="263"/>
      <c r="AJ15" s="50"/>
      <c r="AN15" s="7" t="s">
        <v>137</v>
      </c>
      <c r="AO15" s="7" t="e">
        <f>CONCATENATE(VLOOKUP(G15,Překlady!C42:K45,8,0),"_",VLOOKUP(G17,Překlady!C50:D52,2,0))</f>
        <v>#N/A</v>
      </c>
      <c r="AP15" s="7" t="s">
        <v>138</v>
      </c>
    </row>
    <row r="16" spans="1:42" ht="15" customHeight="1" x14ac:dyDescent="0.25">
      <c r="B16" s="154"/>
      <c r="C16" s="17"/>
      <c r="D16" s="17"/>
      <c r="Q16" s="230"/>
      <c r="R16" s="231"/>
      <c r="S16" s="231"/>
      <c r="T16" s="232"/>
      <c r="U16" s="239"/>
      <c r="V16" s="240"/>
      <c r="W16" s="240"/>
      <c r="X16" s="241"/>
      <c r="Z16" s="213"/>
      <c r="AA16" s="213"/>
      <c r="AB16" s="213"/>
      <c r="AC16" s="213"/>
      <c r="AD16" s="213"/>
      <c r="AE16" s="213"/>
      <c r="AF16" s="213"/>
      <c r="AG16" s="213"/>
      <c r="AH16" s="213"/>
      <c r="AI16" s="263"/>
      <c r="AJ16" s="50"/>
    </row>
    <row r="17" spans="2:47" ht="15" customHeight="1" x14ac:dyDescent="0.25">
      <c r="B17" s="248" t="str">
        <f>Překlady!C48</f>
        <v>Barva:</v>
      </c>
      <c r="C17" s="201"/>
      <c r="D17" s="201"/>
      <c r="E17" s="201"/>
      <c r="G17" s="203"/>
      <c r="H17" s="203"/>
      <c r="I17" s="203"/>
      <c r="J17" s="203"/>
      <c r="K17" s="203"/>
      <c r="L17" s="203"/>
      <c r="M17" s="203"/>
      <c r="N17" s="203"/>
      <c r="O17" s="203"/>
      <c r="Q17" s="230"/>
      <c r="R17" s="231"/>
      <c r="S17" s="231"/>
      <c r="T17" s="232"/>
      <c r="U17" s="239"/>
      <c r="V17" s="240"/>
      <c r="W17" s="240"/>
      <c r="X17" s="241"/>
      <c r="Z17" s="213"/>
      <c r="AA17" s="213"/>
      <c r="AB17" s="213"/>
      <c r="AC17" s="213"/>
      <c r="AD17" s="213"/>
      <c r="AE17" s="213"/>
      <c r="AF17" s="213"/>
      <c r="AG17" s="213"/>
      <c r="AH17" s="213"/>
      <c r="AI17" s="263"/>
      <c r="AJ17" s="50"/>
    </row>
    <row r="18" spans="2:47" ht="15" customHeight="1" x14ac:dyDescent="0.25">
      <c r="B18" s="104"/>
      <c r="G18" s="307" t="str">
        <f>IFERROR((IF(VLOOKUP(G19,Produkty!B3:L50,11,0)=G17,"",Překlady!C101)),"")</f>
        <v/>
      </c>
      <c r="H18" s="307"/>
      <c r="I18" s="307"/>
      <c r="J18" s="307"/>
      <c r="K18" s="307"/>
      <c r="L18" s="307"/>
      <c r="M18" s="307"/>
      <c r="N18" s="307"/>
      <c r="O18" s="307"/>
      <c r="Q18" s="230"/>
      <c r="R18" s="231"/>
      <c r="S18" s="231"/>
      <c r="T18" s="232"/>
      <c r="U18" s="239"/>
      <c r="V18" s="240"/>
      <c r="W18" s="240"/>
      <c r="X18" s="241"/>
      <c r="Z18" s="213"/>
      <c r="AA18" s="213"/>
      <c r="AB18" s="213"/>
      <c r="AC18" s="213"/>
      <c r="AD18" s="213"/>
      <c r="AE18" s="213"/>
      <c r="AF18" s="213"/>
      <c r="AG18" s="213"/>
      <c r="AH18" s="213"/>
      <c r="AI18" s="263"/>
      <c r="AJ18" s="50"/>
    </row>
    <row r="19" spans="2:47" ht="15" customHeight="1" thickBot="1" x14ac:dyDescent="0.3">
      <c r="B19" s="248" t="str">
        <f>Překlady!C41</f>
        <v>Profil:</v>
      </c>
      <c r="C19" s="201"/>
      <c r="D19" s="201"/>
      <c r="E19" s="201"/>
      <c r="G19" s="245"/>
      <c r="H19" s="245"/>
      <c r="I19" s="245"/>
      <c r="J19" s="245"/>
      <c r="K19" s="245"/>
      <c r="L19" s="245"/>
      <c r="M19" s="245"/>
      <c r="N19" s="245"/>
      <c r="O19" s="245"/>
      <c r="Q19" s="233"/>
      <c r="R19" s="234"/>
      <c r="S19" s="234"/>
      <c r="T19" s="235"/>
      <c r="U19" s="242"/>
      <c r="V19" s="243"/>
      <c r="W19" s="243"/>
      <c r="X19" s="244"/>
      <c r="Z19" s="213"/>
      <c r="AA19" s="213"/>
      <c r="AB19" s="213"/>
      <c r="AC19" s="213"/>
      <c r="AD19" s="213"/>
      <c r="AE19" s="213"/>
      <c r="AF19" s="213"/>
      <c r="AG19" s="213"/>
      <c r="AH19" s="213"/>
      <c r="AI19" s="263"/>
      <c r="AJ19" s="50"/>
      <c r="AN19" s="7" t="s">
        <v>140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307" t="str">
        <f>IFERROR((IF(OR(AT22=$G$21,AT23=$G$21,AT24=$G$21,AT25=$G$21,AT26=$G$21),"",Překlady!C101)),"")</f>
        <v/>
      </c>
      <c r="H20" s="307"/>
      <c r="I20" s="307"/>
      <c r="J20" s="307"/>
      <c r="K20" s="307"/>
      <c r="L20" s="307"/>
      <c r="M20" s="307"/>
      <c r="N20" s="307"/>
      <c r="O20" s="307"/>
      <c r="Q20" s="264"/>
      <c r="R20" s="265"/>
      <c r="S20" s="265"/>
      <c r="T20" s="265"/>
      <c r="U20" s="265"/>
      <c r="V20" s="265"/>
      <c r="W20" s="265"/>
      <c r="X20" s="266"/>
      <c r="Z20" s="213"/>
      <c r="AA20" s="213"/>
      <c r="AB20" s="213"/>
      <c r="AC20" s="213"/>
      <c r="AD20" s="213"/>
      <c r="AE20" s="213"/>
      <c r="AF20" s="213"/>
      <c r="AG20" s="213"/>
      <c r="AH20" s="213"/>
      <c r="AI20" s="263"/>
      <c r="AJ20" s="50"/>
      <c r="AO20" s="7" t="str">
        <v>černá</v>
      </c>
    </row>
    <row r="21" spans="2:47" ht="15" customHeight="1" x14ac:dyDescent="0.25">
      <c r="B21" s="248" t="str">
        <f>Překlady!C81</f>
        <v>Délka (mm):</v>
      </c>
      <c r="C21" s="201"/>
      <c r="D21" s="201"/>
      <c r="E21" s="201"/>
      <c r="G21" s="203"/>
      <c r="H21" s="203"/>
      <c r="I21" s="203"/>
      <c r="J21" s="203"/>
      <c r="K21" s="203"/>
      <c r="L21" s="203"/>
      <c r="M21" s="203"/>
      <c r="N21" s="203"/>
      <c r="O21" s="203"/>
      <c r="Q21" s="230"/>
      <c r="R21" s="231"/>
      <c r="S21" s="231"/>
      <c r="T21" s="231"/>
      <c r="U21" s="231"/>
      <c r="V21" s="231"/>
      <c r="W21" s="231"/>
      <c r="X21" s="267"/>
      <c r="Z21" s="213"/>
      <c r="AA21" s="213"/>
      <c r="AB21" s="213"/>
      <c r="AC21" s="213"/>
      <c r="AD21" s="213"/>
      <c r="AE21" s="213"/>
      <c r="AF21" s="213"/>
      <c r="AG21" s="213"/>
      <c r="AH21" s="213"/>
      <c r="AI21" s="263"/>
      <c r="AJ21" s="50"/>
      <c r="AO21" s="7" t="str">
        <v>stříbrná</v>
      </c>
      <c r="AT21" s="17" t="s">
        <v>141</v>
      </c>
      <c r="AU21" s="7" t="e">
        <f>IF(OR(AT22=$G$21,AT23=$G$21,AT24=$G$21,AT25=$G$21),"",Překlady!D101)</f>
        <v>#N/A</v>
      </c>
    </row>
    <row r="22" spans="2:47" ht="15" customHeight="1" x14ac:dyDescent="0.25">
      <c r="B22" s="154"/>
      <c r="C22" s="17"/>
      <c r="D22" s="17"/>
      <c r="Q22" s="230"/>
      <c r="R22" s="231"/>
      <c r="S22" s="231"/>
      <c r="T22" s="231"/>
      <c r="U22" s="231"/>
      <c r="V22" s="231"/>
      <c r="W22" s="231"/>
      <c r="X22" s="267"/>
      <c r="Z22" s="213"/>
      <c r="AA22" s="213"/>
      <c r="AB22" s="213"/>
      <c r="AC22" s="213"/>
      <c r="AD22" s="213"/>
      <c r="AE22" s="213"/>
      <c r="AF22" s="213"/>
      <c r="AG22" s="213"/>
      <c r="AH22" s="213"/>
      <c r="AI22" s="263"/>
      <c r="AJ22" s="50"/>
      <c r="AP22" s="17" t="s">
        <v>142</v>
      </c>
      <c r="AQ22" s="7" t="e">
        <f>VLOOKUP(CONCATENATE(G19,"_",G21),Produkty!A3:C50,3,0)</f>
        <v>#N/A</v>
      </c>
      <c r="AS22" s="7" t="s">
        <v>143</v>
      </c>
      <c r="AT22" s="7" t="e">
        <f>VLOOKUP($G$19,Produkty!$B$3:$X$50,20,0)</f>
        <v>#N/A</v>
      </c>
    </row>
    <row r="23" spans="2:47" ht="15" customHeight="1" x14ac:dyDescent="0.25">
      <c r="B23" s="248" t="str">
        <f>Překlady!C82</f>
        <v>Množství (ks):</v>
      </c>
      <c r="C23" s="201"/>
      <c r="D23" s="201"/>
      <c r="E23" s="201"/>
      <c r="G23" s="203"/>
      <c r="H23" s="203"/>
      <c r="I23" s="203"/>
      <c r="J23" s="203"/>
      <c r="K23" s="203"/>
      <c r="L23" s="203"/>
      <c r="M23" s="203"/>
      <c r="N23" s="203"/>
      <c r="O23" s="203"/>
      <c r="Q23" s="230"/>
      <c r="R23" s="231"/>
      <c r="S23" s="231"/>
      <c r="T23" s="231"/>
      <c r="U23" s="231"/>
      <c r="V23" s="231"/>
      <c r="W23" s="231"/>
      <c r="X23" s="267"/>
      <c r="Z23" s="213"/>
      <c r="AA23" s="213"/>
      <c r="AB23" s="213"/>
      <c r="AC23" s="213"/>
      <c r="AD23" s="213"/>
      <c r="AE23" s="213"/>
      <c r="AF23" s="213"/>
      <c r="AG23" s="213"/>
      <c r="AH23" s="213"/>
      <c r="AI23" s="263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54"/>
      <c r="C24" s="17"/>
      <c r="D24" s="17"/>
      <c r="G24" s="307"/>
      <c r="H24" s="307"/>
      <c r="I24" s="307"/>
      <c r="J24" s="307"/>
      <c r="K24" s="307"/>
      <c r="L24" s="307"/>
      <c r="M24" s="307"/>
      <c r="N24" s="307"/>
      <c r="O24" s="307"/>
      <c r="Q24" s="230"/>
      <c r="R24" s="231"/>
      <c r="S24" s="231"/>
      <c r="T24" s="231"/>
      <c r="U24" s="231"/>
      <c r="V24" s="231"/>
      <c r="W24" s="231"/>
      <c r="X24" s="267"/>
      <c r="Z24" s="213"/>
      <c r="AA24" s="213"/>
      <c r="AB24" s="213"/>
      <c r="AC24" s="213"/>
      <c r="AD24" s="213"/>
      <c r="AE24" s="213"/>
      <c r="AF24" s="213"/>
      <c r="AG24" s="213"/>
      <c r="AH24" s="213"/>
      <c r="AI24" s="263"/>
      <c r="AJ24" s="50"/>
      <c r="AN24" s="7" t="s">
        <v>144</v>
      </c>
      <c r="AT24" s="7" t="e">
        <f>VLOOKUP($G$19,Produkty!$B$3:$X$50,22,0)</f>
        <v>#N/A</v>
      </c>
    </row>
    <row r="25" spans="2:47" ht="15" customHeight="1" x14ac:dyDescent="0.25">
      <c r="B25" s="249" t="str">
        <f>Překlady!C63</f>
        <v>Koncovka:</v>
      </c>
      <c r="C25" s="250"/>
      <c r="D25" s="250"/>
      <c r="E25" s="250"/>
      <c r="G25" s="357"/>
      <c r="H25" s="357"/>
      <c r="I25" s="357"/>
      <c r="J25" s="357"/>
      <c r="K25" s="357"/>
      <c r="L25" s="357"/>
      <c r="M25" s="357"/>
      <c r="N25" s="357"/>
      <c r="O25" s="357"/>
      <c r="Q25" s="230"/>
      <c r="R25" s="231"/>
      <c r="S25" s="231"/>
      <c r="T25" s="231"/>
      <c r="U25" s="231"/>
      <c r="V25" s="231"/>
      <c r="W25" s="231"/>
      <c r="X25" s="267"/>
      <c r="Z25" s="213"/>
      <c r="AA25" s="213"/>
      <c r="AB25" s="213"/>
      <c r="AC25" s="213"/>
      <c r="AD25" s="213"/>
      <c r="AE25" s="213"/>
      <c r="AF25" s="213"/>
      <c r="AG25" s="213"/>
      <c r="AH25" s="213"/>
      <c r="AI25" s="263"/>
      <c r="AJ25" s="50"/>
      <c r="AN25" s="7" t="e">
        <f>VLOOKUP(AQ22,Produkty!C3:O50,13,0)</f>
        <v>#N/A</v>
      </c>
      <c r="AP25" s="17" t="s">
        <v>146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8"/>
      <c r="C26" s="159"/>
      <c r="D26" s="159"/>
      <c r="E26" s="153"/>
      <c r="G26" s="50"/>
      <c r="I26" s="50"/>
      <c r="K26" s="50"/>
      <c r="L26" s="50"/>
      <c r="M26" s="50"/>
      <c r="Q26" s="233"/>
      <c r="R26" s="234"/>
      <c r="S26" s="234"/>
      <c r="T26" s="234"/>
      <c r="U26" s="234"/>
      <c r="V26" s="234"/>
      <c r="W26" s="234"/>
      <c r="X26" s="268"/>
      <c r="Z26" s="213"/>
      <c r="AA26" s="213"/>
      <c r="AB26" s="213"/>
      <c r="AC26" s="213"/>
      <c r="AD26" s="213"/>
      <c r="AE26" s="213"/>
      <c r="AF26" s="213"/>
      <c r="AG26" s="213"/>
      <c r="AH26" s="213"/>
      <c r="AI26" s="263"/>
      <c r="AJ26" s="50"/>
    </row>
    <row r="27" spans="2:47" ht="15" customHeight="1" thickBot="1" x14ac:dyDescent="0.3">
      <c r="B27" s="249" t="str">
        <f>Překlady!C64</f>
        <v>Množství koncovek (páry):</v>
      </c>
      <c r="C27" s="250"/>
      <c r="D27" s="250"/>
      <c r="E27" s="250"/>
      <c r="G27" s="203"/>
      <c r="H27" s="203"/>
      <c r="I27" s="203"/>
      <c r="J27" s="203"/>
      <c r="K27" s="203"/>
      <c r="L27" s="203"/>
      <c r="M27" s="203"/>
      <c r="N27" s="203"/>
      <c r="O27" s="203"/>
      <c r="AA27" s="74"/>
      <c r="AB27" s="74"/>
      <c r="AC27" s="74"/>
      <c r="AD27" s="74"/>
      <c r="AE27" s="74"/>
      <c r="AF27" s="74"/>
      <c r="AG27" s="74"/>
      <c r="AI27" s="97"/>
      <c r="AN27" s="7" t="s">
        <v>147</v>
      </c>
      <c r="AO27" s="7" t="str">
        <f>IFERROR((VLOOKUP(VLOOKUP(AQ22,Produkty!C3:Q50,15,0),Produkty!A81:B99,2,0)),"")</f>
        <v/>
      </c>
      <c r="AP27" s="17" t="s">
        <v>148</v>
      </c>
      <c r="AQ27" s="7" t="e">
        <f>VLOOKUP(G25,Produkty!B80:C99,2,0)</f>
        <v>#N/A</v>
      </c>
      <c r="AS27" s="17" t="s">
        <v>149</v>
      </c>
      <c r="AT27" s="7" t="e">
        <f>VLOOKUP(G31,Produkty!B55:R78,14,0)</f>
        <v>#N/A</v>
      </c>
    </row>
    <row r="28" spans="2:47" ht="15" customHeight="1" x14ac:dyDescent="0.25">
      <c r="B28" s="104"/>
      <c r="Q28" s="219" t="str">
        <f>Překlady!C44</f>
        <v>rohová</v>
      </c>
      <c r="R28" s="220"/>
      <c r="S28" s="220"/>
      <c r="T28" s="220"/>
      <c r="U28" s="220"/>
      <c r="V28" s="220"/>
      <c r="W28" s="220"/>
      <c r="X28" s="221"/>
      <c r="Z28" s="259" t="str">
        <f>Překlady!C43</f>
        <v>k zafrézování</v>
      </c>
      <c r="AA28" s="259"/>
      <c r="AB28" s="259"/>
      <c r="AC28" s="259"/>
      <c r="AD28" s="259"/>
      <c r="AE28" s="259"/>
      <c r="AF28" s="259"/>
      <c r="AG28" s="259"/>
      <c r="AH28" s="259"/>
      <c r="AI28" s="260"/>
      <c r="AJ28" s="150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7.6" customHeight="1" x14ac:dyDescent="0.25">
      <c r="B29" s="104"/>
      <c r="G29" s="231"/>
      <c r="H29" s="231"/>
      <c r="I29" s="231"/>
      <c r="J29" s="231"/>
      <c r="K29" s="231"/>
      <c r="L29" s="231"/>
      <c r="M29" s="231"/>
      <c r="N29" s="231"/>
      <c r="O29" s="231"/>
      <c r="Q29" s="222" t="s">
        <v>150</v>
      </c>
      <c r="R29" s="223"/>
      <c r="S29" s="223"/>
      <c r="T29" s="224"/>
      <c r="U29" s="225" t="s">
        <v>151</v>
      </c>
      <c r="V29" s="223"/>
      <c r="W29" s="223"/>
      <c r="X29" s="226"/>
      <c r="Z29" s="261" t="s">
        <v>152</v>
      </c>
      <c r="AA29" s="261"/>
      <c r="AB29" s="261"/>
      <c r="AC29" s="261"/>
      <c r="AD29" s="261"/>
      <c r="AE29" s="261"/>
      <c r="AF29" s="261"/>
      <c r="AG29" s="261"/>
      <c r="AH29" s="261"/>
      <c r="AI29" s="262"/>
      <c r="AJ29" s="102"/>
      <c r="AP29" s="270" t="s">
        <v>153</v>
      </c>
      <c r="AQ29" s="160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61"/>
      <c r="D30" s="162"/>
      <c r="G30" s="231"/>
      <c r="H30" s="231"/>
      <c r="I30" s="231"/>
      <c r="J30" s="231"/>
      <c r="K30" s="231"/>
      <c r="L30" s="231"/>
      <c r="M30" s="231"/>
      <c r="N30" s="231"/>
      <c r="O30" s="231"/>
      <c r="Q30" s="305"/>
      <c r="R30" s="237"/>
      <c r="S30" s="237"/>
      <c r="T30" s="308"/>
      <c r="U30" s="314"/>
      <c r="V30" s="228"/>
      <c r="W30" s="228"/>
      <c r="X30" s="315"/>
      <c r="Z30" s="213"/>
      <c r="AA30" s="213"/>
      <c r="AB30" s="213"/>
      <c r="AC30" s="213"/>
      <c r="AD30" s="213"/>
      <c r="AE30" s="213"/>
      <c r="AF30" s="213"/>
      <c r="AG30" s="213"/>
      <c r="AH30" s="213"/>
      <c r="AI30" s="263"/>
      <c r="AJ30" s="50"/>
      <c r="AP30" s="270"/>
      <c r="AQ30" s="160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249" t="str">
        <f>Překlady!C55</f>
        <v>Krycí lišta:</v>
      </c>
      <c r="C31" s="250"/>
      <c r="D31" s="250"/>
      <c r="E31" s="250"/>
      <c r="G31" s="286"/>
      <c r="H31" s="286"/>
      <c r="I31" s="286"/>
      <c r="J31" s="286"/>
      <c r="K31" s="286"/>
      <c r="L31" s="286"/>
      <c r="M31" s="286"/>
      <c r="N31" s="286"/>
      <c r="O31" s="286"/>
      <c r="Q31" s="309"/>
      <c r="R31" s="240"/>
      <c r="S31" s="240"/>
      <c r="T31" s="310"/>
      <c r="U31" s="316"/>
      <c r="V31" s="231"/>
      <c r="W31" s="231"/>
      <c r="X31" s="267"/>
      <c r="Z31" s="213"/>
      <c r="AA31" s="213"/>
      <c r="AB31" s="213"/>
      <c r="AC31" s="213"/>
      <c r="AD31" s="213"/>
      <c r="AE31" s="213"/>
      <c r="AF31" s="213"/>
      <c r="AG31" s="213"/>
      <c r="AH31" s="213"/>
      <c r="AI31" s="263"/>
      <c r="AJ31" s="50"/>
    </row>
    <row r="32" spans="2:47" ht="15" customHeight="1" x14ac:dyDescent="0.25">
      <c r="B32" s="104"/>
      <c r="G32" s="286"/>
      <c r="H32" s="286"/>
      <c r="I32" s="286"/>
      <c r="J32" s="286"/>
      <c r="K32" s="286"/>
      <c r="L32" s="286"/>
      <c r="M32" s="286"/>
      <c r="N32" s="286"/>
      <c r="O32" s="286"/>
      <c r="Q32" s="309"/>
      <c r="R32" s="240"/>
      <c r="S32" s="240"/>
      <c r="T32" s="310"/>
      <c r="U32" s="316"/>
      <c r="V32" s="231"/>
      <c r="W32" s="231"/>
      <c r="X32" s="267"/>
      <c r="Z32" s="213"/>
      <c r="AA32" s="213"/>
      <c r="AB32" s="213"/>
      <c r="AC32" s="213"/>
      <c r="AD32" s="213"/>
      <c r="AE32" s="213"/>
      <c r="AF32" s="213"/>
      <c r="AG32" s="213"/>
      <c r="AH32" s="213"/>
      <c r="AI32" s="263"/>
      <c r="AJ32" s="50"/>
    </row>
    <row r="33" spans="2:40" ht="15" customHeight="1" x14ac:dyDescent="0.25">
      <c r="B33" s="104"/>
      <c r="Q33" s="309"/>
      <c r="R33" s="240"/>
      <c r="S33" s="240"/>
      <c r="T33" s="310"/>
      <c r="U33" s="316"/>
      <c r="V33" s="231"/>
      <c r="W33" s="231"/>
      <c r="X33" s="267"/>
      <c r="Z33" s="213"/>
      <c r="AA33" s="213"/>
      <c r="AB33" s="213"/>
      <c r="AC33" s="213"/>
      <c r="AD33" s="213"/>
      <c r="AE33" s="213"/>
      <c r="AF33" s="213"/>
      <c r="AG33" s="213"/>
      <c r="AH33" s="213"/>
      <c r="AI33" s="263"/>
      <c r="AJ33" s="50"/>
    </row>
    <row r="34" spans="2:40" ht="15" customHeight="1" x14ac:dyDescent="0.25">
      <c r="B34" s="249" t="str">
        <f>Překlady!C81</f>
        <v>Délka (mm):</v>
      </c>
      <c r="C34" s="250"/>
      <c r="D34" s="250"/>
      <c r="E34" s="250"/>
      <c r="G34" s="203"/>
      <c r="H34" s="203"/>
      <c r="I34" s="203"/>
      <c r="J34" s="203"/>
      <c r="K34" s="203"/>
      <c r="L34" s="203"/>
      <c r="M34" s="203"/>
      <c r="N34" s="203"/>
      <c r="O34" s="203"/>
      <c r="Q34" s="309"/>
      <c r="R34" s="240"/>
      <c r="S34" s="240"/>
      <c r="T34" s="310"/>
      <c r="U34" s="316"/>
      <c r="V34" s="231"/>
      <c r="W34" s="231"/>
      <c r="X34" s="267"/>
      <c r="Z34" s="213"/>
      <c r="AA34" s="213"/>
      <c r="AB34" s="213"/>
      <c r="AC34" s="213"/>
      <c r="AD34" s="213"/>
      <c r="AE34" s="213"/>
      <c r="AF34" s="213"/>
      <c r="AG34" s="213"/>
      <c r="AH34" s="213"/>
      <c r="AI34" s="263"/>
      <c r="AJ34" s="50"/>
    </row>
    <row r="35" spans="2:40" ht="15" customHeight="1" x14ac:dyDescent="0.25">
      <c r="B35" s="158"/>
      <c r="C35" s="159"/>
      <c r="D35" s="159"/>
      <c r="F35" s="50"/>
      <c r="G35" s="50"/>
      <c r="H35" s="50"/>
      <c r="Q35" s="309"/>
      <c r="R35" s="240"/>
      <c r="S35" s="240"/>
      <c r="T35" s="310"/>
      <c r="U35" s="316"/>
      <c r="V35" s="231"/>
      <c r="W35" s="231"/>
      <c r="X35" s="267"/>
      <c r="Z35" s="213"/>
      <c r="AA35" s="213"/>
      <c r="AB35" s="213"/>
      <c r="AC35" s="213"/>
      <c r="AD35" s="213"/>
      <c r="AE35" s="213"/>
      <c r="AF35" s="213"/>
      <c r="AG35" s="213"/>
      <c r="AH35" s="213"/>
      <c r="AI35" s="263"/>
      <c r="AJ35" s="50"/>
    </row>
    <row r="36" spans="2:40" ht="15" customHeight="1" x14ac:dyDescent="0.25">
      <c r="B36" s="248" t="str">
        <f>Překlady!C82</f>
        <v>Množství (ks):</v>
      </c>
      <c r="C36" s="201"/>
      <c r="D36" s="201"/>
      <c r="E36" s="201"/>
      <c r="G36" s="203"/>
      <c r="H36" s="203"/>
      <c r="I36" s="203"/>
      <c r="J36" s="203"/>
      <c r="K36" s="203"/>
      <c r="L36" s="203"/>
      <c r="M36" s="203"/>
      <c r="N36" s="203"/>
      <c r="O36" s="203"/>
      <c r="Q36" s="311"/>
      <c r="R36" s="312"/>
      <c r="S36" s="312"/>
      <c r="T36" s="313"/>
      <c r="U36" s="317"/>
      <c r="V36" s="318"/>
      <c r="W36" s="318"/>
      <c r="X36" s="319"/>
      <c r="Z36" s="213"/>
      <c r="AA36" s="213"/>
      <c r="AB36" s="213"/>
      <c r="AC36" s="213"/>
      <c r="AD36" s="213"/>
      <c r="AE36" s="213"/>
      <c r="AF36" s="213"/>
      <c r="AG36" s="213"/>
      <c r="AH36" s="213"/>
      <c r="AI36" s="263"/>
      <c r="AJ36" s="50"/>
      <c r="AK36" s="140" t="s">
        <v>42</v>
      </c>
      <c r="AL36" s="7" t="str">
        <f>Překlady!$C$13</f>
        <v>rovný</v>
      </c>
      <c r="AM36" s="7">
        <v>1</v>
      </c>
    </row>
    <row r="37" spans="2:40" ht="15" customHeight="1" x14ac:dyDescent="0.25">
      <c r="B37" s="104"/>
      <c r="Q37" s="227"/>
      <c r="R37" s="228"/>
      <c r="S37" s="228"/>
      <c r="T37" s="228"/>
      <c r="U37" s="228"/>
      <c r="V37" s="228"/>
      <c r="W37" s="228"/>
      <c r="X37" s="315"/>
      <c r="Z37" s="261"/>
      <c r="AA37" s="261"/>
      <c r="AB37" s="261"/>
      <c r="AC37" s="261"/>
      <c r="AD37" s="261"/>
      <c r="AE37" s="261"/>
      <c r="AF37" s="261"/>
      <c r="AG37" s="261"/>
      <c r="AH37" s="261"/>
      <c r="AI37" s="262"/>
      <c r="AJ37" s="102"/>
      <c r="AL37" s="7" t="str">
        <f>Překlady!$C$14</f>
        <v>rohový</v>
      </c>
      <c r="AM37" s="7">
        <v>2</v>
      </c>
    </row>
    <row r="38" spans="2:40" ht="15" customHeight="1" x14ac:dyDescent="0.25">
      <c r="B38" s="248" t="str">
        <f>Překlady!C109</f>
        <v>Montáž profilu:</v>
      </c>
      <c r="C38" s="201"/>
      <c r="D38" s="201"/>
      <c r="E38" s="201" t="str">
        <f>Překlady!C109</f>
        <v>Montáž profilu:</v>
      </c>
      <c r="G38" s="203"/>
      <c r="H38" s="203"/>
      <c r="I38" s="203"/>
      <c r="J38" s="203"/>
      <c r="K38" s="203"/>
      <c r="L38" s="203"/>
      <c r="M38" s="203"/>
      <c r="N38" s="203"/>
      <c r="O38" s="203"/>
      <c r="Q38" s="230"/>
      <c r="R38" s="231"/>
      <c r="S38" s="231"/>
      <c r="T38" s="231"/>
      <c r="U38" s="231"/>
      <c r="V38" s="231"/>
      <c r="W38" s="231"/>
      <c r="X38" s="267"/>
      <c r="Z38" s="261"/>
      <c r="AA38" s="261"/>
      <c r="AB38" s="261"/>
      <c r="AC38" s="261"/>
      <c r="AD38" s="261"/>
      <c r="AE38" s="261"/>
      <c r="AF38" s="261"/>
      <c r="AG38" s="261"/>
      <c r="AH38" s="261"/>
      <c r="AI38" s="262"/>
      <c r="AJ38" s="102"/>
      <c r="AK38" s="140" t="s">
        <v>778</v>
      </c>
      <c r="AL38" s="7" t="str">
        <f>Překlady!$C$15</f>
        <v>ano</v>
      </c>
      <c r="AM38" s="7">
        <v>3</v>
      </c>
    </row>
    <row r="39" spans="2:40" ht="15" customHeight="1" x14ac:dyDescent="0.25">
      <c r="B39" s="104"/>
      <c r="Q39" s="230"/>
      <c r="R39" s="231"/>
      <c r="S39" s="231"/>
      <c r="T39" s="231"/>
      <c r="U39" s="231"/>
      <c r="V39" s="231"/>
      <c r="W39" s="231"/>
      <c r="X39" s="267"/>
      <c r="Z39" s="261"/>
      <c r="AA39" s="261"/>
      <c r="AB39" s="261"/>
      <c r="AC39" s="261"/>
      <c r="AD39" s="261"/>
      <c r="AE39" s="261"/>
      <c r="AF39" s="261"/>
      <c r="AG39" s="261"/>
      <c r="AH39" s="261"/>
      <c r="AI39" s="262"/>
      <c r="AJ39" s="102"/>
      <c r="AL39" s="7" t="str">
        <f>Překlady!$C$16</f>
        <v>ne</v>
      </c>
      <c r="AM39" s="7">
        <v>4</v>
      </c>
    </row>
    <row r="40" spans="2:40" ht="15" customHeight="1" x14ac:dyDescent="0.25">
      <c r="B40" s="163"/>
      <c r="C40" s="164"/>
      <c r="D40" s="164"/>
      <c r="E40" s="164"/>
      <c r="Q40" s="230"/>
      <c r="R40" s="231"/>
      <c r="S40" s="231"/>
      <c r="T40" s="231"/>
      <c r="U40" s="231"/>
      <c r="V40" s="231"/>
      <c r="W40" s="231"/>
      <c r="X40" s="267"/>
      <c r="Z40" s="261"/>
      <c r="AA40" s="261"/>
      <c r="AB40" s="261"/>
      <c r="AC40" s="261"/>
      <c r="AD40" s="261"/>
      <c r="AE40" s="261"/>
      <c r="AF40" s="261"/>
      <c r="AG40" s="261"/>
      <c r="AH40" s="261"/>
      <c r="AI40" s="262"/>
      <c r="AJ40" s="102"/>
    </row>
    <row r="41" spans="2:40" ht="15" customHeight="1" x14ac:dyDescent="0.25">
      <c r="B41" s="104"/>
      <c r="Q41" s="230"/>
      <c r="R41" s="231"/>
      <c r="S41" s="231"/>
      <c r="T41" s="231"/>
      <c r="U41" s="231"/>
      <c r="V41" s="231"/>
      <c r="W41" s="231"/>
      <c r="X41" s="267"/>
      <c r="Z41" s="261"/>
      <c r="AA41" s="261"/>
      <c r="AB41" s="261"/>
      <c r="AC41" s="261"/>
      <c r="AD41" s="261"/>
      <c r="AE41" s="261"/>
      <c r="AF41" s="261"/>
      <c r="AG41" s="261"/>
      <c r="AH41" s="261"/>
      <c r="AI41" s="262"/>
      <c r="AJ41" s="102"/>
    </row>
    <row r="42" spans="2:40" ht="15" customHeight="1" x14ac:dyDescent="0.25">
      <c r="B42" s="104"/>
      <c r="Q42" s="230"/>
      <c r="R42" s="231"/>
      <c r="S42" s="231"/>
      <c r="T42" s="231"/>
      <c r="U42" s="231"/>
      <c r="V42" s="231"/>
      <c r="W42" s="231"/>
      <c r="X42" s="267"/>
      <c r="Z42" s="261"/>
      <c r="AA42" s="261"/>
      <c r="AB42" s="261"/>
      <c r="AC42" s="261"/>
      <c r="AD42" s="261"/>
      <c r="AE42" s="261"/>
      <c r="AF42" s="261"/>
      <c r="AG42" s="261"/>
      <c r="AH42" s="261"/>
      <c r="AI42" s="262"/>
      <c r="AJ42" s="102"/>
      <c r="AN42" s="17"/>
    </row>
    <row r="43" spans="2:40" ht="15" customHeight="1" x14ac:dyDescent="0.25">
      <c r="B43" s="104"/>
      <c r="Q43" s="230"/>
      <c r="R43" s="231"/>
      <c r="S43" s="231"/>
      <c r="T43" s="231"/>
      <c r="U43" s="231"/>
      <c r="V43" s="231"/>
      <c r="W43" s="231"/>
      <c r="X43" s="267"/>
      <c r="Z43" s="261"/>
      <c r="AA43" s="261"/>
      <c r="AB43" s="261"/>
      <c r="AC43" s="261"/>
      <c r="AD43" s="261"/>
      <c r="AE43" s="261"/>
      <c r="AF43" s="261"/>
      <c r="AG43" s="261"/>
      <c r="AH43" s="261"/>
      <c r="AI43" s="262"/>
      <c r="AJ43" s="102"/>
      <c r="AN43" s="17"/>
    </row>
    <row r="44" spans="2:40" ht="15" customHeight="1" thickBot="1" x14ac:dyDescent="0.3">
      <c r="B44" s="104"/>
      <c r="Q44" s="233"/>
      <c r="R44" s="234"/>
      <c r="S44" s="234"/>
      <c r="T44" s="234"/>
      <c r="U44" s="234"/>
      <c r="V44" s="234"/>
      <c r="W44" s="234"/>
      <c r="X44" s="268"/>
      <c r="Z44" s="261"/>
      <c r="AA44" s="261"/>
      <c r="AB44" s="261"/>
      <c r="AC44" s="261"/>
      <c r="AD44" s="261"/>
      <c r="AE44" s="261"/>
      <c r="AF44" s="261"/>
      <c r="AG44" s="261"/>
      <c r="AH44" s="261"/>
      <c r="AI44" s="262"/>
      <c r="AJ44" s="102"/>
      <c r="AN44" s="17"/>
    </row>
    <row r="45" spans="2:40" ht="15" customHeight="1" x14ac:dyDescent="0.25">
      <c r="B45" s="104"/>
      <c r="Z45" s="261"/>
      <c r="AA45" s="261"/>
      <c r="AB45" s="261"/>
      <c r="AC45" s="261"/>
      <c r="AD45" s="261"/>
      <c r="AE45" s="261"/>
      <c r="AF45" s="261"/>
      <c r="AG45" s="261"/>
      <c r="AH45" s="261"/>
      <c r="AI45" s="262"/>
      <c r="AJ45" s="102"/>
      <c r="AL45" s="17"/>
    </row>
    <row r="46" spans="2:40" ht="15" customHeight="1" x14ac:dyDescent="0.25">
      <c r="B46" s="104"/>
      <c r="Z46" s="261"/>
      <c r="AA46" s="261"/>
      <c r="AB46" s="261"/>
      <c r="AC46" s="261"/>
      <c r="AD46" s="261"/>
      <c r="AE46" s="261"/>
      <c r="AF46" s="261"/>
      <c r="AG46" s="261"/>
      <c r="AH46" s="261"/>
      <c r="AI46" s="262"/>
      <c r="AJ46" s="102"/>
      <c r="AK46" s="141"/>
      <c r="AL46" s="18"/>
    </row>
    <row r="47" spans="2:40" ht="15" customHeight="1" x14ac:dyDescent="0.25">
      <c r="B47" s="104"/>
      <c r="Z47" s="261"/>
      <c r="AA47" s="261"/>
      <c r="AB47" s="261"/>
      <c r="AC47" s="261"/>
      <c r="AD47" s="261"/>
      <c r="AE47" s="261"/>
      <c r="AF47" s="261"/>
      <c r="AG47" s="261"/>
      <c r="AH47" s="261"/>
      <c r="AI47" s="262"/>
      <c r="AJ47" s="102"/>
      <c r="AK47" s="141"/>
      <c r="AL47" s="18"/>
    </row>
    <row r="48" spans="2:40" ht="15" customHeight="1" x14ac:dyDescent="0.25">
      <c r="B48" s="104"/>
      <c r="Z48" s="261"/>
      <c r="AA48" s="261"/>
      <c r="AB48" s="261"/>
      <c r="AC48" s="261"/>
      <c r="AD48" s="261"/>
      <c r="AE48" s="261"/>
      <c r="AF48" s="261"/>
      <c r="AG48" s="261"/>
      <c r="AH48" s="261"/>
      <c r="AI48" s="262"/>
      <c r="AJ48" s="102"/>
      <c r="AL48" s="17"/>
    </row>
    <row r="49" spans="2:84" ht="15" customHeight="1" x14ac:dyDescent="0.25">
      <c r="B49" s="104"/>
      <c r="Z49" s="261"/>
      <c r="AA49" s="261"/>
      <c r="AB49" s="261"/>
      <c r="AC49" s="261"/>
      <c r="AD49" s="261"/>
      <c r="AE49" s="261"/>
      <c r="AF49" s="261"/>
      <c r="AG49" s="261"/>
      <c r="AH49" s="261"/>
      <c r="AI49" s="262"/>
      <c r="AJ49" s="102"/>
      <c r="AL49" s="17"/>
    </row>
    <row r="50" spans="2:84" ht="15" customHeight="1" x14ac:dyDescent="0.25">
      <c r="B50" s="104"/>
      <c r="Z50" s="261"/>
      <c r="AA50" s="261"/>
      <c r="AB50" s="261"/>
      <c r="AC50" s="261"/>
      <c r="AD50" s="261"/>
      <c r="AE50" s="261"/>
      <c r="AF50" s="261"/>
      <c r="AG50" s="261"/>
      <c r="AH50" s="261"/>
      <c r="AI50" s="262"/>
      <c r="AJ50" s="102"/>
      <c r="AL50" s="17"/>
    </row>
    <row r="51" spans="2:84" ht="15" customHeight="1" x14ac:dyDescent="0.25">
      <c r="B51" s="104"/>
      <c r="N51" s="50"/>
      <c r="Z51" s="261"/>
      <c r="AA51" s="261"/>
      <c r="AB51" s="261"/>
      <c r="AC51" s="261"/>
      <c r="AD51" s="261"/>
      <c r="AE51" s="261"/>
      <c r="AF51" s="261"/>
      <c r="AG51" s="261"/>
      <c r="AH51" s="261"/>
      <c r="AI51" s="262"/>
      <c r="AJ51" s="102"/>
      <c r="AL51" s="17"/>
    </row>
    <row r="52" spans="2:84" ht="15" customHeight="1" x14ac:dyDescent="0.25">
      <c r="B52" s="104"/>
      <c r="N52" s="50"/>
      <c r="Z52" s="261"/>
      <c r="AA52" s="261"/>
      <c r="AB52" s="261"/>
      <c r="AC52" s="261"/>
      <c r="AD52" s="261"/>
      <c r="AE52" s="261"/>
      <c r="AF52" s="261"/>
      <c r="AG52" s="261"/>
      <c r="AH52" s="261"/>
      <c r="AI52" s="262"/>
      <c r="AJ52" s="102"/>
      <c r="AL52" s="17"/>
    </row>
    <row r="53" spans="2:84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6"/>
      <c r="M53" s="156"/>
      <c r="N53" s="156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272"/>
      <c r="AA53" s="272"/>
      <c r="AB53" s="272"/>
      <c r="AC53" s="272"/>
      <c r="AD53" s="272"/>
      <c r="AE53" s="272"/>
      <c r="AF53" s="272"/>
      <c r="AG53" s="272"/>
      <c r="AH53" s="272"/>
      <c r="AI53" s="273"/>
      <c r="AJ53" s="102"/>
      <c r="AL53" s="17"/>
    </row>
    <row r="54" spans="2:84" ht="7.5" customHeight="1" x14ac:dyDescent="0.25">
      <c r="AL54" s="17"/>
    </row>
    <row r="55" spans="2:84" ht="7.5" customHeight="1" thickBot="1" x14ac:dyDescent="0.3">
      <c r="B55" s="165"/>
      <c r="C55" s="165"/>
      <c r="D55" s="165"/>
      <c r="E55" s="165"/>
      <c r="H55" s="165"/>
      <c r="I55" s="165"/>
      <c r="J55" s="165"/>
      <c r="K55" s="165"/>
      <c r="N55" s="165"/>
      <c r="O55" s="165"/>
      <c r="P55" s="165"/>
      <c r="Q55" s="165"/>
      <c r="R55" s="50"/>
      <c r="T55" s="165"/>
      <c r="U55" s="165"/>
      <c r="V55" s="165"/>
      <c r="W55" s="165"/>
    </row>
    <row r="56" spans="2:84" ht="15" customHeight="1" x14ac:dyDescent="0.25">
      <c r="B56" s="166"/>
      <c r="C56" s="167"/>
      <c r="D56" s="167"/>
      <c r="E56" s="167"/>
      <c r="F56" s="93"/>
      <c r="G56" s="93"/>
      <c r="H56" s="167"/>
      <c r="I56" s="167"/>
      <c r="J56" s="167"/>
      <c r="K56" s="167"/>
      <c r="L56" s="93"/>
      <c r="M56" s="93"/>
      <c r="N56" s="167"/>
      <c r="O56" s="167"/>
      <c r="P56" s="167"/>
      <c r="Q56" s="167"/>
      <c r="R56" s="157"/>
      <c r="S56" s="93"/>
      <c r="T56" s="167"/>
      <c r="U56" s="167"/>
      <c r="V56" s="167"/>
      <c r="W56" s="167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84" ht="17.25" customHeight="1" x14ac:dyDescent="0.25">
      <c r="B57" s="283" t="str">
        <f>Překlady!C53</f>
        <v>Definujte tvar sestavy:</v>
      </c>
      <c r="C57" s="284"/>
      <c r="D57" s="284"/>
      <c r="E57" s="284"/>
      <c r="F57" s="153"/>
      <c r="G57" s="153"/>
      <c r="H57" s="153"/>
      <c r="I57" s="153"/>
      <c r="J57" s="50"/>
      <c r="K57" s="50"/>
      <c r="N57" s="50"/>
      <c r="O57" s="50"/>
      <c r="P57" s="50"/>
      <c r="Q57" s="50"/>
      <c r="R57" s="50"/>
      <c r="S57" s="212" t="str">
        <f>IF(AL63=TRUE,Překlady!C12,"")</f>
        <v/>
      </c>
      <c r="T57" s="212"/>
      <c r="U57" s="212"/>
      <c r="V57" s="50"/>
      <c r="W57" s="50"/>
      <c r="X57" s="50"/>
      <c r="Y57" s="271"/>
      <c r="AI57" s="97"/>
      <c r="BJ57" s="17" t="s">
        <v>5799</v>
      </c>
      <c r="BK57" s="7" t="str">
        <f>IF(OR(G21=I72,G21=I73,G21=O72,G21=O73),"ano","ne")</f>
        <v>ano</v>
      </c>
      <c r="BU57" s="169" t="s">
        <v>5816</v>
      </c>
      <c r="BV57" s="169"/>
    </row>
    <row r="58" spans="2:84" ht="18" customHeight="1" x14ac:dyDescent="0.25">
      <c r="B58" s="283"/>
      <c r="C58" s="284"/>
      <c r="D58" s="284"/>
      <c r="E58" s="284"/>
      <c r="F58" s="153"/>
      <c r="G58" s="153"/>
      <c r="H58" s="153"/>
      <c r="I58" s="153"/>
      <c r="J58" s="50"/>
      <c r="K58" s="50"/>
      <c r="N58" s="50"/>
      <c r="O58" s="50"/>
      <c r="P58" s="50"/>
      <c r="Q58" s="50"/>
      <c r="R58" s="50"/>
      <c r="V58" s="50"/>
      <c r="Y58" s="271"/>
      <c r="AI58" s="97"/>
      <c r="BS58" s="251" t="s">
        <v>201</v>
      </c>
      <c r="BT58" s="251" t="s">
        <v>202</v>
      </c>
      <c r="BU58" s="251" t="s">
        <v>204</v>
      </c>
      <c r="BV58" s="252" t="s">
        <v>1357</v>
      </c>
      <c r="BW58" s="252" t="s">
        <v>1351</v>
      </c>
      <c r="BX58" s="252" t="s">
        <v>2405</v>
      </c>
      <c r="BY58" s="252" t="s">
        <v>197</v>
      </c>
      <c r="BZ58" s="252" t="s">
        <v>3108</v>
      </c>
      <c r="CA58" s="252" t="s">
        <v>1273</v>
      </c>
    </row>
    <row r="59" spans="2:84" ht="7.5" customHeight="1" x14ac:dyDescent="0.25">
      <c r="B59" s="283"/>
      <c r="C59" s="284"/>
      <c r="D59" s="284"/>
      <c r="E59" s="284"/>
      <c r="AI59" s="97"/>
      <c r="BS59" s="251"/>
      <c r="BT59" s="251"/>
      <c r="BU59" s="251"/>
      <c r="BV59" s="252"/>
      <c r="BW59" s="252"/>
      <c r="BX59" s="252"/>
      <c r="BY59" s="252"/>
      <c r="BZ59" s="252"/>
      <c r="CA59" s="252"/>
    </row>
    <row r="60" spans="2:84" ht="13.5" customHeight="1" x14ac:dyDescent="0.25">
      <c r="B60" s="104"/>
      <c r="U60" s="170" t="s">
        <v>20</v>
      </c>
      <c r="W60" s="168" t="s">
        <v>20</v>
      </c>
      <c r="Y60" s="170" t="s">
        <v>154</v>
      </c>
      <c r="AI60" s="97"/>
      <c r="AK60" s="171" t="s">
        <v>155</v>
      </c>
      <c r="AL60" s="274" t="s">
        <v>156</v>
      </c>
      <c r="AM60" s="152" t="e">
        <f>VLOOKUP(AM66,BB64:BC72,2,0)</f>
        <v>#N/A</v>
      </c>
      <c r="BS60" s="251"/>
      <c r="BT60" s="251"/>
      <c r="BU60" s="251"/>
      <c r="BV60" s="252"/>
      <c r="BW60" s="252"/>
      <c r="BX60" s="252"/>
      <c r="BY60" s="252"/>
      <c r="BZ60" s="252"/>
      <c r="CA60" s="252"/>
    </row>
    <row r="61" spans="2:84" ht="18" customHeight="1" x14ac:dyDescent="0.25">
      <c r="B61" s="104"/>
      <c r="W61" s="172"/>
      <c r="AI61" s="97"/>
      <c r="AK61" s="171" t="s">
        <v>157</v>
      </c>
      <c r="AL61" s="213"/>
      <c r="AM61" s="152" t="e">
        <f>VLOOKUP(AM66,BB64:BD72,3,0)</f>
        <v>#N/A</v>
      </c>
      <c r="BJ61" s="7" t="str">
        <f>CONCATENATE(G63,"_",G65,"_",G67,"_",P65)</f>
        <v>___</v>
      </c>
      <c r="BK61" s="50" t="s">
        <v>5796</v>
      </c>
      <c r="BL61" s="50" t="s">
        <v>5797</v>
      </c>
      <c r="BM61" s="252" t="s">
        <v>5807</v>
      </c>
      <c r="BN61" s="252" t="s">
        <v>5808</v>
      </c>
      <c r="BO61" s="252" t="s">
        <v>5809</v>
      </c>
      <c r="BP61" s="252" t="s">
        <v>5810</v>
      </c>
      <c r="BQ61" s="252" t="s">
        <v>5811</v>
      </c>
      <c r="BR61" s="258" t="s">
        <v>5812</v>
      </c>
      <c r="BS61" s="251"/>
      <c r="BT61" s="251"/>
      <c r="BU61" s="251"/>
      <c r="BV61" s="252"/>
      <c r="BW61" s="252"/>
      <c r="BX61" s="252"/>
      <c r="BY61" s="252"/>
      <c r="BZ61" s="252"/>
      <c r="CA61" s="252"/>
    </row>
    <row r="62" spans="2:84" ht="10.5" customHeight="1" x14ac:dyDescent="0.25">
      <c r="B62" s="104"/>
      <c r="S62" s="22"/>
      <c r="W62" s="168"/>
      <c r="AI62" s="97"/>
      <c r="BJ62" s="7" t="s">
        <v>5795</v>
      </c>
      <c r="BK62" s="50">
        <v>391584</v>
      </c>
      <c r="BL62" s="50">
        <v>208204</v>
      </c>
      <c r="BM62" s="252"/>
      <c r="BN62" s="252"/>
      <c r="BO62" s="252"/>
      <c r="BP62" s="252"/>
      <c r="BQ62" s="252"/>
      <c r="BR62" s="258"/>
      <c r="BS62" s="251"/>
      <c r="BT62" s="251"/>
      <c r="BU62" s="251"/>
      <c r="BV62" s="252"/>
      <c r="BW62" s="252"/>
      <c r="BX62" s="252"/>
      <c r="BY62" s="252"/>
      <c r="BZ62" s="252"/>
      <c r="CA62" s="252"/>
    </row>
    <row r="63" spans="2:84" ht="15.75" x14ac:dyDescent="0.25">
      <c r="B63" s="173"/>
      <c r="C63" s="174"/>
      <c r="D63" s="174"/>
      <c r="E63" s="89" t="str">
        <f>Překlady!C12</f>
        <v>Tvar sestavy:</v>
      </c>
      <c r="G63" s="203"/>
      <c r="H63" s="203"/>
      <c r="I63" s="203"/>
      <c r="J63" s="203"/>
      <c r="K63" s="203"/>
      <c r="AI63" s="97"/>
      <c r="AK63" s="140" t="s">
        <v>158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159</v>
      </c>
      <c r="AW63" s="7">
        <f>IF(AND(G63=Překlady!C14,G65=Překlady!C15),1,0)</f>
        <v>0</v>
      </c>
      <c r="AZ63" s="7" t="s">
        <v>24</v>
      </c>
      <c r="BA63" s="7" t="s">
        <v>25</v>
      </c>
      <c r="BC63" s="152" t="s">
        <v>155</v>
      </c>
      <c r="BD63" s="152" t="s">
        <v>157</v>
      </c>
      <c r="BJ63" s="7" t="str">
        <f>CONCATENATE(Překlady!$C$13,"_",Překlady!$C$16,"_",Překlady!$C$34,"_")</f>
        <v>rovný_ne_vlevo_</v>
      </c>
      <c r="BK63" s="50">
        <f>IF($BK$57="ano",0,1)</f>
        <v>0</v>
      </c>
      <c r="BL63" s="50">
        <v>1</v>
      </c>
      <c r="BM63" s="7" t="s">
        <v>5814</v>
      </c>
      <c r="BN63" s="7">
        <v>543616</v>
      </c>
      <c r="BO63" s="7">
        <v>543616</v>
      </c>
      <c r="BP63" s="7">
        <v>543616</v>
      </c>
      <c r="BQ63" s="7">
        <v>543616</v>
      </c>
      <c r="BR63" s="7">
        <v>543616</v>
      </c>
      <c r="BS63" s="7">
        <v>543616</v>
      </c>
      <c r="BT63" s="7">
        <v>543616</v>
      </c>
      <c r="BU63" s="7">
        <v>543616</v>
      </c>
      <c r="BV63" s="7">
        <v>543616</v>
      </c>
      <c r="BW63" s="7">
        <v>543616</v>
      </c>
      <c r="BX63" s="7">
        <v>543616</v>
      </c>
      <c r="BY63" s="7">
        <v>543616</v>
      </c>
      <c r="BZ63" s="7">
        <v>543616</v>
      </c>
      <c r="CA63" s="7">
        <v>543616</v>
      </c>
      <c r="CF63" s="7" t="s">
        <v>5788</v>
      </c>
    </row>
    <row r="64" spans="2:84" ht="15" x14ac:dyDescent="0.25">
      <c r="B64" s="104"/>
      <c r="AC64" s="271" t="s">
        <v>160</v>
      </c>
      <c r="AF64" s="172"/>
      <c r="AI64" s="97"/>
      <c r="AK64" s="140" t="s">
        <v>161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J64" s="7" t="str">
        <f>CONCATENATE(Překlady!$C$13,"_",Překlady!$C$16,"_",Překlady!$C$35,"_")</f>
        <v>rovný_ne_vpravo_</v>
      </c>
      <c r="BK64" s="50">
        <f>IF($BK$57="ano",0,1)</f>
        <v>0</v>
      </c>
      <c r="BL64" s="50">
        <v>1</v>
      </c>
      <c r="BM64" s="7" t="s">
        <v>5814</v>
      </c>
      <c r="BN64" s="7">
        <v>543616</v>
      </c>
      <c r="BO64" s="7">
        <v>543616</v>
      </c>
      <c r="BP64" s="7">
        <v>543616</v>
      </c>
      <c r="BQ64" s="7">
        <v>543616</v>
      </c>
      <c r="BR64" s="7">
        <v>543616</v>
      </c>
      <c r="BS64" s="7">
        <v>543616</v>
      </c>
      <c r="BT64" s="7">
        <v>543616</v>
      </c>
      <c r="BU64" s="7">
        <v>543616</v>
      </c>
      <c r="BV64" s="7">
        <v>543616</v>
      </c>
      <c r="BW64" s="7">
        <v>543616</v>
      </c>
      <c r="BX64" s="7">
        <v>543616</v>
      </c>
      <c r="BY64" s="7">
        <v>543616</v>
      </c>
      <c r="BZ64" s="7">
        <v>543616</v>
      </c>
      <c r="CA64" s="7">
        <v>543616</v>
      </c>
      <c r="CF64" s="7" t="s">
        <v>5788</v>
      </c>
    </row>
    <row r="65" spans="2:84" ht="15.75" x14ac:dyDescent="0.25">
      <c r="B65" s="173"/>
      <c r="C65" s="174"/>
      <c r="D65" s="174"/>
      <c r="E65" s="89" t="str">
        <f>Překlady!C17</f>
        <v>Bude přerušený led pásek?</v>
      </c>
      <c r="G65" s="203"/>
      <c r="H65" s="203"/>
      <c r="I65" s="203"/>
      <c r="J65" s="203"/>
      <c r="K65" s="203"/>
      <c r="M65" s="303" t="str">
        <f>IF(AW63=1,Překlady!C37,"")</f>
        <v/>
      </c>
      <c r="N65" s="303"/>
      <c r="O65" s="303"/>
      <c r="P65" s="276"/>
      <c r="Q65" s="276"/>
      <c r="R65" s="175"/>
      <c r="AC65" s="271"/>
      <c r="AE65" s="96"/>
      <c r="AF65" s="172"/>
      <c r="AI65" s="97"/>
      <c r="AK65" s="140" t="s">
        <v>5781</v>
      </c>
      <c r="AL65" s="7">
        <f>IF(AND(G63=Překlady!C13,Sestava4!G65=Překlady!C15),1,0)</f>
        <v>0</v>
      </c>
      <c r="BB65" s="7" t="str">
        <f>CONCATENATE(Překlady!C13,"_",Překlady!C16,"_")</f>
        <v>rovný_ne_</v>
      </c>
      <c r="BC65" s="7">
        <v>1</v>
      </c>
      <c r="BJ65" s="7" t="str">
        <f>CONCATENATE(Překlady!$C$13,"_",Překlady!$C$15,"_",Překlady!$C$36,"_")</f>
        <v>rovný_ano_v přerušení_</v>
      </c>
      <c r="BK65" s="50">
        <f>IF($BK$57="ano",1,2)</f>
        <v>1</v>
      </c>
      <c r="BL65" s="50">
        <v>2</v>
      </c>
      <c r="BM65" s="7" t="s">
        <v>5815</v>
      </c>
      <c r="BN65" s="7">
        <v>543616</v>
      </c>
      <c r="BO65" s="7">
        <v>543616</v>
      </c>
      <c r="BP65" s="7">
        <v>543616</v>
      </c>
      <c r="BQ65" s="7">
        <v>543616</v>
      </c>
      <c r="BR65" s="7">
        <v>543616</v>
      </c>
      <c r="BS65" s="7">
        <v>543616</v>
      </c>
      <c r="BT65" s="7">
        <v>543616</v>
      </c>
      <c r="BU65" s="7">
        <v>543616</v>
      </c>
      <c r="BV65" s="7">
        <v>543616</v>
      </c>
      <c r="BW65" s="7">
        <v>543616</v>
      </c>
      <c r="BX65" s="7">
        <v>543616</v>
      </c>
      <c r="BY65" s="7">
        <v>543616</v>
      </c>
      <c r="BZ65" s="7">
        <v>543616</v>
      </c>
      <c r="CA65" s="7">
        <v>543616</v>
      </c>
      <c r="CF65" s="7" t="s">
        <v>5787</v>
      </c>
    </row>
    <row r="66" spans="2:84" ht="15" x14ac:dyDescent="0.25">
      <c r="B66" s="104"/>
      <c r="AB66" s="96"/>
      <c r="AC66" s="96"/>
      <c r="AE66" s="170"/>
      <c r="AF66" s="176"/>
      <c r="AI66" s="97"/>
      <c r="AK66" s="140" t="s">
        <v>24</v>
      </c>
      <c r="AL66" s="162" t="s">
        <v>137</v>
      </c>
      <c r="AM66" s="162" t="str">
        <f>CONCATENATE(G63,"_",G65,"_",P65)</f>
        <v>__</v>
      </c>
      <c r="AN66" s="50" t="str">
        <f>IFERROR((VLOOKUP(AM66,AM67:AN70,2,0)),"X")</f>
        <v>X</v>
      </c>
      <c r="AP66" s="7" t="s">
        <v>162</v>
      </c>
      <c r="AQ66" s="7" t="s">
        <v>137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J66" s="7" t="str">
        <f>CONCATENATE(Překlady!$C$13,"_",Překlady!$C$15,"_",Překlady!$C$35,"_")</f>
        <v>rovný_ano_vpravo_</v>
      </c>
      <c r="BK66" s="50">
        <f>IF($BK$57="ano",1,2)</f>
        <v>1</v>
      </c>
      <c r="BL66" s="50">
        <v>3</v>
      </c>
      <c r="BM66" s="7" t="s">
        <v>5813</v>
      </c>
      <c r="BN66" s="7">
        <v>543616</v>
      </c>
      <c r="BO66" s="7">
        <v>543616</v>
      </c>
      <c r="BP66" s="7">
        <v>543616</v>
      </c>
      <c r="BQ66" s="7">
        <v>543616</v>
      </c>
      <c r="BR66" s="7">
        <v>543616</v>
      </c>
      <c r="BS66" s="7">
        <v>543616</v>
      </c>
      <c r="BT66" s="7">
        <v>543616</v>
      </c>
      <c r="BU66" s="7">
        <v>543616</v>
      </c>
      <c r="BV66" s="7">
        <v>543616</v>
      </c>
      <c r="BW66" s="7">
        <v>543616</v>
      </c>
      <c r="BX66" s="7">
        <v>543616</v>
      </c>
      <c r="BY66" s="7">
        <v>543616</v>
      </c>
      <c r="BZ66" s="7">
        <v>543616</v>
      </c>
      <c r="CA66" s="7">
        <v>543616</v>
      </c>
      <c r="CF66" s="7" t="s">
        <v>5786</v>
      </c>
    </row>
    <row r="67" spans="2:84" ht="15.75" x14ac:dyDescent="0.25">
      <c r="B67" s="173"/>
      <c r="C67" s="174"/>
      <c r="D67" s="174"/>
      <c r="E67" s="89" t="str">
        <f>Překlady!C33</f>
        <v>Umístění napájení:</v>
      </c>
      <c r="G67" s="203"/>
      <c r="H67" s="203"/>
      <c r="I67" s="203"/>
      <c r="J67" s="203"/>
      <c r="K67" s="203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J67" s="7" t="str">
        <f>CONCATENATE(Překlady!$C$13,"_",Překlady!$C$15,"_",Překlady!$C$34,"_")</f>
        <v>rovný_ano_vlevo_</v>
      </c>
      <c r="BK67" s="50">
        <f>IF($BK$57="ano",1,2)</f>
        <v>1</v>
      </c>
      <c r="BL67" s="50">
        <v>3</v>
      </c>
      <c r="BM67" s="7" t="s">
        <v>5813</v>
      </c>
      <c r="BN67" s="7">
        <v>543616</v>
      </c>
      <c r="BO67" s="7">
        <v>543616</v>
      </c>
      <c r="BP67" s="7">
        <v>543616</v>
      </c>
      <c r="BQ67" s="7">
        <v>543616</v>
      </c>
      <c r="BR67" s="7">
        <v>543616</v>
      </c>
      <c r="BS67" s="7">
        <v>543616</v>
      </c>
      <c r="BT67" s="7">
        <v>543616</v>
      </c>
      <c r="BU67" s="7">
        <v>543616</v>
      </c>
      <c r="BV67" s="7">
        <v>543616</v>
      </c>
      <c r="BW67" s="7">
        <v>543616</v>
      </c>
      <c r="BX67" s="7">
        <v>543616</v>
      </c>
      <c r="BY67" s="7">
        <v>543616</v>
      </c>
      <c r="BZ67" s="7">
        <v>543616</v>
      </c>
      <c r="CA67" s="7">
        <v>543616</v>
      </c>
      <c r="CF67" s="7" t="s">
        <v>5786</v>
      </c>
    </row>
    <row r="68" spans="2:84" ht="24.75" customHeight="1" x14ac:dyDescent="0.25">
      <c r="B68" s="104"/>
      <c r="Z68" s="102"/>
      <c r="AA68" s="168"/>
      <c r="AC68" s="168" t="s">
        <v>163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J68" s="7" t="str">
        <f>CONCATENATE(Překlady!$C$14,"_",Překlady!$C$16,"_",Překlady!$C$34,"_")</f>
        <v>rohový_ne_vlevo_</v>
      </c>
      <c r="BK68" s="50">
        <v>2</v>
      </c>
      <c r="BL68" s="50">
        <v>3</v>
      </c>
      <c r="BM68" s="7" t="s">
        <v>5813</v>
      </c>
      <c r="BN68" s="7">
        <v>543616</v>
      </c>
      <c r="BO68" s="7">
        <v>543616</v>
      </c>
      <c r="BP68" s="7">
        <v>543616</v>
      </c>
      <c r="BQ68" s="7">
        <v>543616</v>
      </c>
      <c r="BR68" s="7">
        <v>543616</v>
      </c>
      <c r="BS68" s="7">
        <v>543616</v>
      </c>
      <c r="BT68" s="7">
        <v>543616</v>
      </c>
      <c r="BU68" s="7">
        <v>543616</v>
      </c>
      <c r="BV68" s="7">
        <v>543616</v>
      </c>
      <c r="BW68" s="7">
        <v>543616</v>
      </c>
      <c r="BX68" s="7">
        <v>543616</v>
      </c>
      <c r="BY68" s="7">
        <v>543616</v>
      </c>
      <c r="BZ68" s="7">
        <v>543616</v>
      </c>
      <c r="CA68" s="7">
        <v>543616</v>
      </c>
      <c r="CF68" s="7" t="s">
        <v>5789</v>
      </c>
    </row>
    <row r="69" spans="2:84" ht="15.75" customHeight="1" x14ac:dyDescent="0.25">
      <c r="B69" s="248" t="str">
        <f>Překlady!C46</f>
        <v>Chcete profily krátit na míru?</v>
      </c>
      <c r="C69" s="201"/>
      <c r="D69" s="201"/>
      <c r="E69" s="201"/>
      <c r="F69" s="177"/>
      <c r="G69" s="203"/>
      <c r="H69" s="203"/>
      <c r="I69" s="203"/>
      <c r="J69" s="203"/>
      <c r="K69" s="203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J69" s="7" t="str">
        <f>CONCATENATE(Překlady!$C$14,"_",Překlady!$C$16,"_",Překlady!$C$35,"_")</f>
        <v>rohový_ne_vpravo_</v>
      </c>
      <c r="BK69" s="50">
        <v>2</v>
      </c>
      <c r="BL69" s="50">
        <v>3</v>
      </c>
      <c r="BM69" s="7" t="s">
        <v>5813</v>
      </c>
      <c r="BN69" s="7">
        <v>543616</v>
      </c>
      <c r="BO69" s="7">
        <v>543616</v>
      </c>
      <c r="BP69" s="7">
        <v>543616</v>
      </c>
      <c r="BQ69" s="7">
        <v>543616</v>
      </c>
      <c r="BR69" s="7">
        <v>543616</v>
      </c>
      <c r="BS69" s="7">
        <v>543616</v>
      </c>
      <c r="BT69" s="7">
        <v>543616</v>
      </c>
      <c r="BU69" s="7">
        <v>543616</v>
      </c>
      <c r="BV69" s="7">
        <v>543616</v>
      </c>
      <c r="BW69" s="7">
        <v>543616</v>
      </c>
      <c r="BX69" s="7">
        <v>543616</v>
      </c>
      <c r="BY69" s="7">
        <v>543616</v>
      </c>
      <c r="BZ69" s="7">
        <v>543616</v>
      </c>
      <c r="CA69" s="7">
        <v>543616</v>
      </c>
    </row>
    <row r="70" spans="2:84" ht="1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164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J70" s="7" t="str">
        <f>CONCATENATE(Překlady!$C$14,"_",Překlady!$C$16,"_",Překlady!$C$38,"_")</f>
        <v>rohový_ne_v rohu_</v>
      </c>
      <c r="BK70" s="50">
        <v>2</v>
      </c>
      <c r="BL70" s="50">
        <v>2</v>
      </c>
      <c r="BM70" s="7" t="s">
        <v>5817</v>
      </c>
      <c r="BN70" s="7">
        <v>543616</v>
      </c>
      <c r="BO70" s="7">
        <v>543616</v>
      </c>
      <c r="BP70" s="7">
        <v>543616</v>
      </c>
      <c r="BQ70" s="7">
        <v>543616</v>
      </c>
      <c r="BR70" s="7">
        <v>543616</v>
      </c>
      <c r="BS70" s="7">
        <v>543616</v>
      </c>
      <c r="BT70" s="7">
        <v>543616</v>
      </c>
      <c r="BU70" s="7">
        <v>543616</v>
      </c>
      <c r="BV70" s="7">
        <v>543616</v>
      </c>
      <c r="BW70" s="7">
        <v>543616</v>
      </c>
      <c r="BX70" s="7">
        <v>543616</v>
      </c>
      <c r="BY70" s="7">
        <v>543616</v>
      </c>
      <c r="BZ70" s="7">
        <v>543616</v>
      </c>
      <c r="CA70" s="7">
        <v>543616</v>
      </c>
      <c r="CF70" s="7" t="s">
        <v>5790</v>
      </c>
    </row>
    <row r="71" spans="2:84" ht="15" x14ac:dyDescent="0.25">
      <c r="B71" s="104"/>
      <c r="AC71" s="271" t="s">
        <v>163</v>
      </c>
      <c r="AD71" s="96"/>
      <c r="AE71" s="96"/>
      <c r="AI71" s="97"/>
      <c r="AK71" s="140" t="s">
        <v>165</v>
      </c>
      <c r="AL71" s="7" t="str">
        <f>Překlady!$C$34</f>
        <v>vlevo</v>
      </c>
      <c r="AM71" s="252" t="s">
        <v>166</v>
      </c>
      <c r="AN71" s="240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20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J71" s="7" t="str">
        <f>CONCATENATE(Překlady!$C$14,"_",Překlady!$C$15,"_",Překlady!$C$34,"_",Překlady!$C$34)</f>
        <v>rohový_ano_vlevo_vlevo</v>
      </c>
      <c r="BK71" s="50">
        <v>3</v>
      </c>
      <c r="BL71" s="50">
        <v>5</v>
      </c>
      <c r="BM71" s="7" t="s">
        <v>5818</v>
      </c>
      <c r="BN71" s="7">
        <v>543616</v>
      </c>
      <c r="BO71" s="7">
        <v>543616</v>
      </c>
      <c r="BP71" s="7">
        <v>543616</v>
      </c>
      <c r="BQ71" s="7">
        <v>543616</v>
      </c>
      <c r="BR71" s="7">
        <v>543616</v>
      </c>
      <c r="BS71" s="7">
        <v>543616</v>
      </c>
      <c r="BT71" s="7">
        <v>543616</v>
      </c>
      <c r="BU71" s="7">
        <v>543616</v>
      </c>
      <c r="BV71" s="7">
        <v>543616</v>
      </c>
      <c r="BW71" s="7">
        <v>543616</v>
      </c>
      <c r="BX71" s="7">
        <v>543616</v>
      </c>
      <c r="BY71" s="7">
        <v>543616</v>
      </c>
      <c r="BZ71" s="7">
        <v>543616</v>
      </c>
      <c r="CA71" s="7">
        <v>543616</v>
      </c>
      <c r="CF71" s="7" t="s">
        <v>5791</v>
      </c>
    </row>
    <row r="72" spans="2:84" ht="15.75" x14ac:dyDescent="0.25">
      <c r="B72" s="248" t="str">
        <f>Překlady!C39</f>
        <v>Definuj délky:</v>
      </c>
      <c r="C72" s="201"/>
      <c r="D72" s="201"/>
      <c r="E72" s="201"/>
      <c r="G72" s="178" t="s">
        <v>167</v>
      </c>
      <c r="I72" s="282"/>
      <c r="J72" s="282"/>
      <c r="K72" s="282"/>
      <c r="M72" s="170" t="s">
        <v>168</v>
      </c>
      <c r="O72" s="275"/>
      <c r="P72" s="275"/>
      <c r="Q72" s="179"/>
      <c r="AC72" s="271"/>
      <c r="AI72" s="97"/>
      <c r="AL72" s="7" t="str">
        <f>Překlady!$C$35</f>
        <v>vpravo</v>
      </c>
      <c r="AM72" s="252"/>
      <c r="AN72" s="240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154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J72" s="7" t="str">
        <f>CONCATENATE(Překlady!$C$14,"_",Překlady!$C$15,"_",Překlady!$C$35,"_",Překlady!$C$35)</f>
        <v>rohový_ano_vpravo_vpravo</v>
      </c>
      <c r="BK72" s="50">
        <v>3</v>
      </c>
      <c r="BL72" s="50">
        <v>5</v>
      </c>
      <c r="BM72" s="7" t="s">
        <v>5818</v>
      </c>
      <c r="BN72" s="7">
        <v>543616</v>
      </c>
      <c r="BO72" s="7">
        <v>543616</v>
      </c>
      <c r="BP72" s="7">
        <v>543616</v>
      </c>
      <c r="BQ72" s="7">
        <v>543616</v>
      </c>
      <c r="BR72" s="7">
        <v>543616</v>
      </c>
      <c r="BS72" s="7">
        <v>543616</v>
      </c>
      <c r="BT72" s="7">
        <v>543616</v>
      </c>
      <c r="BU72" s="7">
        <v>543616</v>
      </c>
      <c r="BV72" s="7">
        <v>543616</v>
      </c>
      <c r="BW72" s="7">
        <v>543616</v>
      </c>
      <c r="BX72" s="7">
        <v>543616</v>
      </c>
      <c r="BY72" s="7">
        <v>543616</v>
      </c>
      <c r="BZ72" s="7">
        <v>543616</v>
      </c>
      <c r="CA72" s="7">
        <v>543616</v>
      </c>
      <c r="CF72" s="7" t="s">
        <v>5791</v>
      </c>
    </row>
    <row r="73" spans="2:84" ht="15" customHeight="1" x14ac:dyDescent="0.25">
      <c r="B73" s="285" t="str">
        <f>Překlady!C83</f>
        <v xml:space="preserve"> Zadávejte celkovou vnější délku vč. koncovek</v>
      </c>
      <c r="C73" s="252"/>
      <c r="D73" s="252"/>
      <c r="E73" s="252"/>
      <c r="G73" s="168" t="s">
        <v>169</v>
      </c>
      <c r="I73" s="275"/>
      <c r="J73" s="275"/>
      <c r="K73" s="275"/>
      <c r="M73" s="170" t="s">
        <v>6809</v>
      </c>
      <c r="O73" s="275"/>
      <c r="P73" s="275"/>
      <c r="Q73" s="179" t="s">
        <v>170</v>
      </c>
      <c r="AI73" s="97"/>
      <c r="AL73" s="7" t="str">
        <f>IF(Sestava4!G65=Překlady!C15,Překlady!$C$36,IF(Sestava4!G63=Překlady!C14,Překlady!$C$38,""))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163</v>
      </c>
      <c r="AW73" s="7">
        <f>IF($AL$64=1,1,2)</f>
        <v>2</v>
      </c>
      <c r="BJ73" s="7" t="str">
        <f>CONCATENATE(Překlady!$C$14,"_",Překlady!$C$15,"_",Překlady!$C$34,"_",Překlady!$C$35)</f>
        <v>rohový_ano_vlevo_vpravo</v>
      </c>
      <c r="BK73" s="50">
        <v>3</v>
      </c>
      <c r="BL73" s="50">
        <v>5</v>
      </c>
      <c r="BM73" s="7" t="s">
        <v>5818</v>
      </c>
      <c r="BN73" s="7">
        <v>543616</v>
      </c>
      <c r="BO73" s="7">
        <v>543616</v>
      </c>
      <c r="BP73" s="7">
        <v>543616</v>
      </c>
      <c r="BQ73" s="7">
        <v>543616</v>
      </c>
      <c r="BR73" s="7">
        <v>543616</v>
      </c>
      <c r="BS73" s="7">
        <v>543616</v>
      </c>
      <c r="BT73" s="7">
        <v>543616</v>
      </c>
      <c r="BU73" s="7">
        <v>543616</v>
      </c>
      <c r="BV73" s="7">
        <v>543616</v>
      </c>
      <c r="BW73" s="7">
        <v>543616</v>
      </c>
      <c r="BX73" s="7">
        <v>543616</v>
      </c>
      <c r="BY73" s="7">
        <v>543616</v>
      </c>
      <c r="BZ73" s="7">
        <v>543616</v>
      </c>
      <c r="CA73" s="7">
        <v>543616</v>
      </c>
    </row>
    <row r="74" spans="2:84" ht="15" customHeight="1" x14ac:dyDescent="0.25">
      <c r="B74" s="285"/>
      <c r="C74" s="252"/>
      <c r="D74" s="252"/>
      <c r="E74" s="252"/>
      <c r="G74" s="170"/>
      <c r="I74" s="180"/>
      <c r="J74" s="180"/>
      <c r="K74" s="179"/>
      <c r="M74" s="170" t="s">
        <v>171</v>
      </c>
      <c r="Q74" s="179"/>
      <c r="AI74" s="97"/>
      <c r="AL74" s="7" t="str">
        <f>IF(AL73=Překlady!C38,"",IF(Sestava4!G63=Překlady!C14,Překlady!$C$38,""))</f>
        <v/>
      </c>
      <c r="AS74" s="50"/>
      <c r="AV74" s="7" t="s">
        <v>160</v>
      </c>
      <c r="AW74" s="7">
        <f>IF($AN$66=2,1,2)</f>
        <v>2</v>
      </c>
      <c r="BJ74" s="7" t="str">
        <f>CONCATENATE(Překlady!$C$14,"_",Překlady!$C$15,"_",Překlady!$C$35,"_",Překlady!$C$34)</f>
        <v>rohový_ano_vpravo_vlevo</v>
      </c>
      <c r="BK74" s="50">
        <v>3</v>
      </c>
      <c r="BL74" s="50">
        <v>5</v>
      </c>
      <c r="BM74" s="7" t="s">
        <v>5818</v>
      </c>
      <c r="BN74" s="7">
        <v>543616</v>
      </c>
      <c r="BO74" s="7">
        <v>543616</v>
      </c>
      <c r="BP74" s="7">
        <v>543616</v>
      </c>
      <c r="BQ74" s="7">
        <v>543616</v>
      </c>
      <c r="BR74" s="7">
        <v>543616</v>
      </c>
      <c r="BS74" s="7">
        <v>543616</v>
      </c>
      <c r="BT74" s="7">
        <v>543616</v>
      </c>
      <c r="BU74" s="7">
        <v>543616</v>
      </c>
      <c r="BV74" s="7">
        <v>543616</v>
      </c>
      <c r="BW74" s="7">
        <v>543616</v>
      </c>
      <c r="BX74" s="7">
        <v>543616</v>
      </c>
      <c r="BY74" s="7">
        <v>543616</v>
      </c>
      <c r="BZ74" s="7">
        <v>543616</v>
      </c>
      <c r="CA74" s="7">
        <v>543616</v>
      </c>
    </row>
    <row r="75" spans="2:84" ht="15" customHeight="1" x14ac:dyDescent="0.25">
      <c r="B75" s="181"/>
      <c r="C75" s="18"/>
      <c r="D75" s="18"/>
      <c r="E75" s="18"/>
      <c r="AI75" s="97"/>
      <c r="BJ75" s="7" t="str">
        <f>CONCATENATE(Překlady!$C$14,"_",Překlady!$C$15,"_",Překlady!$C$36,"_",Překlady!$C$35)</f>
        <v>rohový_ano_v přerušení_vpravo</v>
      </c>
      <c r="BK75" s="50">
        <v>3</v>
      </c>
      <c r="BL75" s="50">
        <v>4</v>
      </c>
      <c r="BM75" s="7" t="s">
        <v>5819</v>
      </c>
      <c r="BN75" s="7">
        <v>543616</v>
      </c>
      <c r="BO75" s="7">
        <v>543616</v>
      </c>
      <c r="BP75" s="7">
        <v>543616</v>
      </c>
      <c r="BQ75" s="7">
        <v>543616</v>
      </c>
      <c r="BR75" s="7">
        <v>543616</v>
      </c>
      <c r="BS75" s="7">
        <v>543616</v>
      </c>
      <c r="BT75" s="7">
        <v>543616</v>
      </c>
      <c r="BU75" s="7">
        <v>543616</v>
      </c>
      <c r="BV75" s="7">
        <v>543616</v>
      </c>
      <c r="BW75" s="7">
        <v>543616</v>
      </c>
      <c r="BX75" s="7">
        <v>543616</v>
      </c>
      <c r="BY75" s="7">
        <v>543616</v>
      </c>
      <c r="BZ75" s="7">
        <v>543616</v>
      </c>
      <c r="CA75" s="7">
        <v>543616</v>
      </c>
    </row>
    <row r="76" spans="2:84" ht="15" x14ac:dyDescent="0.25">
      <c r="B76" s="104"/>
      <c r="AI76" s="97"/>
      <c r="BJ76" s="7" t="str">
        <f>CONCATENATE(Překlady!$C$14,"_",Překlady!$C$15,"_",Překlady!$C$36,"_",Překlady!$C$34)</f>
        <v>rohový_ano_v přerušení_vlevo</v>
      </c>
      <c r="BK76" s="50">
        <v>3</v>
      </c>
      <c r="BL76" s="50">
        <v>4</v>
      </c>
      <c r="BM76" s="7" t="s">
        <v>5819</v>
      </c>
      <c r="BN76" s="7">
        <v>543616</v>
      </c>
      <c r="BO76" s="7">
        <v>543616</v>
      </c>
      <c r="BP76" s="7">
        <v>543616</v>
      </c>
      <c r="BQ76" s="7">
        <v>543616</v>
      </c>
      <c r="BR76" s="7">
        <v>543616</v>
      </c>
      <c r="BS76" s="7">
        <v>543616</v>
      </c>
      <c r="BT76" s="7">
        <v>543616</v>
      </c>
      <c r="BU76" s="7">
        <v>543616</v>
      </c>
      <c r="BV76" s="7">
        <v>543616</v>
      </c>
      <c r="BW76" s="7">
        <v>543616</v>
      </c>
      <c r="BX76" s="7">
        <v>543616</v>
      </c>
      <c r="BY76" s="7">
        <v>543616</v>
      </c>
      <c r="BZ76" s="7">
        <v>543616</v>
      </c>
      <c r="CA76" s="7">
        <v>543616</v>
      </c>
    </row>
    <row r="77" spans="2:84" ht="12.75" customHeight="1" x14ac:dyDescent="0.25">
      <c r="B77" s="104"/>
      <c r="AI77" s="97"/>
      <c r="BJ77" s="7" t="str">
        <f>CONCATENATE(Překlady!$C$14,"_",Překlady!$C$15,"_",Překlady!$C$38,"_",Překlady!$C$35)</f>
        <v>rohový_ano_v rohu_vpravo</v>
      </c>
      <c r="BK77" s="50">
        <v>3</v>
      </c>
      <c r="BL77" s="50">
        <v>4</v>
      </c>
      <c r="BM77" s="7" t="s">
        <v>5820</v>
      </c>
      <c r="BN77" s="7">
        <v>543616</v>
      </c>
      <c r="BO77" s="7">
        <v>543616</v>
      </c>
      <c r="BP77" s="7">
        <v>543616</v>
      </c>
      <c r="BQ77" s="7">
        <v>543616</v>
      </c>
      <c r="BR77" s="7">
        <v>543616</v>
      </c>
      <c r="BS77" s="7">
        <v>543616</v>
      </c>
      <c r="BT77" s="7">
        <v>543616</v>
      </c>
      <c r="BU77" s="7">
        <v>543616</v>
      </c>
      <c r="BV77" s="7">
        <v>543616</v>
      </c>
      <c r="BW77" s="7">
        <v>543616</v>
      </c>
      <c r="BX77" s="7">
        <v>543616</v>
      </c>
      <c r="BY77" s="7">
        <v>543616</v>
      </c>
      <c r="BZ77" s="7">
        <v>543616</v>
      </c>
      <c r="CA77" s="7">
        <v>543616</v>
      </c>
      <c r="CF77" s="7" t="s">
        <v>5792</v>
      </c>
    </row>
    <row r="78" spans="2:84" ht="15" x14ac:dyDescent="0.25">
      <c r="B78" s="104"/>
      <c r="AI78" s="97"/>
      <c r="BJ78" s="7" t="str">
        <f>CONCATENATE(Překlady!$C$14,"_",Překlady!$C$15,"_",Překlady!$C$38,"_",Překlady!$C$34)</f>
        <v>rohový_ano_v rohu_vlevo</v>
      </c>
      <c r="BK78" s="50">
        <v>3</v>
      </c>
      <c r="BL78" s="50">
        <v>4</v>
      </c>
      <c r="BM78" s="7" t="s">
        <v>5820</v>
      </c>
      <c r="BN78" s="7">
        <v>543616</v>
      </c>
      <c r="BO78" s="7">
        <v>543616</v>
      </c>
      <c r="BP78" s="7">
        <v>543616</v>
      </c>
      <c r="BQ78" s="7">
        <v>543616</v>
      </c>
      <c r="BR78" s="7">
        <v>543616</v>
      </c>
      <c r="BS78" s="7">
        <v>543616</v>
      </c>
      <c r="BT78" s="7">
        <v>543616</v>
      </c>
      <c r="BU78" s="7">
        <v>543616</v>
      </c>
      <c r="BV78" s="7">
        <v>543616</v>
      </c>
      <c r="BW78" s="7">
        <v>543616</v>
      </c>
      <c r="BX78" s="7">
        <v>543616</v>
      </c>
      <c r="BY78" s="7">
        <v>543616</v>
      </c>
      <c r="BZ78" s="7">
        <v>543616</v>
      </c>
      <c r="CA78" s="7">
        <v>543616</v>
      </c>
      <c r="CF78" s="7" t="s">
        <v>5793</v>
      </c>
    </row>
    <row r="79" spans="2:84" ht="15" customHeight="1" x14ac:dyDescent="0.25">
      <c r="B79" s="104"/>
      <c r="AI79" s="97"/>
      <c r="BJ79" s="7" t="e">
        <f>MATCH(BJ61,BJ63:BJ78,0)</f>
        <v>#N/A</v>
      </c>
      <c r="BK79" s="155" t="e" cm="1">
        <f t="array" ref="BK79">INDEX($BK$63:BK78,BJ79)</f>
        <v>#N/A</v>
      </c>
      <c r="BL79" s="155" t="e" cm="1">
        <f t="array" ref="BL79">INDEX($BL$63:BL78,BJ79)</f>
        <v>#N/A</v>
      </c>
      <c r="BW79" s="17" t="s">
        <v>111</v>
      </c>
      <c r="BX79" s="7" t="s">
        <v>5803</v>
      </c>
    </row>
    <row r="80" spans="2:84" ht="15" customHeight="1" x14ac:dyDescent="0.25">
      <c r="B80" s="104"/>
      <c r="AI80" s="97"/>
      <c r="BW80" s="17" t="s">
        <v>5805</v>
      </c>
      <c r="BX80" s="7" t="s">
        <v>5806</v>
      </c>
    </row>
    <row r="81" spans="2:76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 t="s">
        <v>5805</v>
      </c>
      <c r="BX81" s="7" t="s">
        <v>5804</v>
      </c>
    </row>
    <row r="82" spans="2:76" ht="7.5" customHeight="1" x14ac:dyDescent="0.25"/>
    <row r="83" spans="2:76" ht="7.5" customHeight="1" thickBot="1" x14ac:dyDescent="0.3"/>
    <row r="84" spans="2:76" ht="1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6" ht="15.75" customHeight="1" x14ac:dyDescent="0.25">
      <c r="B85" s="246" t="str">
        <f>Překlady!C67</f>
        <v>LED pásek:</v>
      </c>
      <c r="C85" s="247"/>
      <c r="D85" s="247"/>
      <c r="E85" s="247"/>
      <c r="M85" s="255" t="s">
        <v>172</v>
      </c>
      <c r="N85" s="256"/>
      <c r="O85" s="256"/>
      <c r="P85" s="256"/>
      <c r="Q85" s="256"/>
      <c r="R85" s="256"/>
      <c r="S85" s="256"/>
      <c r="T85" s="280"/>
      <c r="U85" s="259" t="s">
        <v>173</v>
      </c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I85" s="97"/>
      <c r="AL85" s="17" t="s">
        <v>174</v>
      </c>
      <c r="AM85" s="7" t="s">
        <v>175</v>
      </c>
    </row>
    <row r="86" spans="2:76" ht="15" customHeight="1" x14ac:dyDescent="0.25">
      <c r="B86" s="246"/>
      <c r="C86" s="247"/>
      <c r="D86" s="247"/>
      <c r="E86" s="247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I86" s="97"/>
      <c r="AL86" s="17"/>
      <c r="AM86" s="7" t="s">
        <v>173</v>
      </c>
    </row>
    <row r="87" spans="2:76" ht="15" x14ac:dyDescent="0.25">
      <c r="B87" s="104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I87" s="97"/>
      <c r="AL87" s="17"/>
      <c r="AM87" s="7" t="str">
        <f>IF(AND(ISBLANK(G19)=TRUE,G89="24V"),"neon","")</f>
        <v/>
      </c>
    </row>
    <row r="88" spans="2:76" ht="15" x14ac:dyDescent="0.25">
      <c r="B88" s="104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I88" s="97"/>
    </row>
    <row r="89" spans="2:76" ht="15.75" x14ac:dyDescent="0.25">
      <c r="B89" s="249" t="str">
        <f>Překlady!C68</f>
        <v>Napětí:</v>
      </c>
      <c r="C89" s="250"/>
      <c r="D89" s="250"/>
      <c r="E89" s="250"/>
      <c r="G89" s="203"/>
      <c r="H89" s="203"/>
      <c r="I89" s="203"/>
      <c r="J89" s="203"/>
      <c r="K89" s="20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I89" s="97"/>
      <c r="AL89" s="17" t="s">
        <v>177</v>
      </c>
      <c r="AM89" s="7" t="str">
        <f>CONCATENATE(G89,"_",G91)</f>
        <v>_</v>
      </c>
      <c r="AP89" s="17" t="s">
        <v>178</v>
      </c>
      <c r="AQ89" s="7" t="s">
        <v>179</v>
      </c>
    </row>
    <row r="90" spans="2:76" ht="15" x14ac:dyDescent="0.25">
      <c r="B90" s="104"/>
      <c r="C90" s="102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I90" s="97"/>
      <c r="AL90" s="17" t="s">
        <v>180</v>
      </c>
      <c r="AM90" s="7" t="e">
        <f>VLOOKUP(AM89,AP89:AQ93,2,0)</f>
        <v>#N/A</v>
      </c>
      <c r="AP90" s="17" t="s">
        <v>181</v>
      </c>
      <c r="AQ90" s="7" t="s">
        <v>179</v>
      </c>
    </row>
    <row r="91" spans="2:76" ht="15.75" x14ac:dyDescent="0.25">
      <c r="B91" s="249" t="str">
        <f>Překlady!C69</f>
        <v>Typ led pásku:</v>
      </c>
      <c r="C91" s="250"/>
      <c r="D91" s="250"/>
      <c r="E91" s="250"/>
      <c r="G91" s="203"/>
      <c r="H91" s="203"/>
      <c r="I91" s="203"/>
      <c r="J91" s="203"/>
      <c r="K91" s="20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I91" s="97"/>
      <c r="AL91" s="17"/>
      <c r="AP91" s="7" t="s">
        <v>182</v>
      </c>
      <c r="AQ91" s="7" t="s">
        <v>183</v>
      </c>
    </row>
    <row r="92" spans="2:76" ht="15" x14ac:dyDescent="0.25">
      <c r="B92" s="104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I92" s="97"/>
      <c r="AL92" s="17"/>
      <c r="AP92" s="7" t="s">
        <v>184</v>
      </c>
      <c r="AQ92" s="7" t="s">
        <v>179</v>
      </c>
    </row>
    <row r="93" spans="2:76" ht="15.75" x14ac:dyDescent="0.25">
      <c r="B93" s="249" t="str">
        <f>Překlady!C70</f>
        <v>Teplota LED pásku:</v>
      </c>
      <c r="C93" s="250"/>
      <c r="D93" s="250"/>
      <c r="E93" s="250"/>
      <c r="G93" s="203"/>
      <c r="H93" s="203"/>
      <c r="I93" s="203"/>
      <c r="J93" s="203"/>
      <c r="K93" s="203"/>
      <c r="AI93" s="97"/>
      <c r="AP93" s="7" t="s">
        <v>185</v>
      </c>
      <c r="AQ93" s="7" t="s">
        <v>186</v>
      </c>
    </row>
    <row r="94" spans="2:76" ht="15.75" x14ac:dyDescent="0.25">
      <c r="B94" s="104"/>
      <c r="U94" s="259" t="str">
        <f>Překlady!C70</f>
        <v>Teplota LED pásku:</v>
      </c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I94" s="97"/>
    </row>
    <row r="95" spans="2:76" ht="15.75" x14ac:dyDescent="0.25">
      <c r="B95" s="249" t="str">
        <f>Překlady!C75</f>
        <v>Svítivost:</v>
      </c>
      <c r="C95" s="250"/>
      <c r="D95" s="250"/>
      <c r="E95" s="250"/>
      <c r="G95" s="203"/>
      <c r="H95" s="203"/>
      <c r="I95" s="203"/>
      <c r="J95" s="203"/>
      <c r="K95" s="20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I95" s="97"/>
      <c r="AL95" s="17" t="s">
        <v>187</v>
      </c>
      <c r="AM95" s="7" t="str">
        <f>IF(G91="neon","teplota1",IF(AM89="24V_COB","teplota3","teplota2"))</f>
        <v>teplota2</v>
      </c>
    </row>
    <row r="96" spans="2:76" ht="15" x14ac:dyDescent="0.25">
      <c r="B96" s="104"/>
      <c r="C96" s="7" t="str">
        <f>Překlady!C80</f>
        <v>pozn: pro osvětlení pracovní desky stačí vysoká svítivost</v>
      </c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I96" s="97"/>
    </row>
    <row r="97" spans="1:56" ht="15" x14ac:dyDescent="0.25">
      <c r="B97" s="104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I97" s="97"/>
    </row>
    <row r="98" spans="1:56" ht="15.75" x14ac:dyDescent="0.25">
      <c r="B98" s="249" t="str">
        <f>Překlady!C67</f>
        <v>LED pásek:</v>
      </c>
      <c r="C98" s="250"/>
      <c r="D98" s="250"/>
      <c r="E98" s="250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I98" s="97"/>
    </row>
    <row r="99" spans="1:56" ht="15" x14ac:dyDescent="0.25">
      <c r="B99" s="104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2"/>
      <c r="R99" s="22"/>
      <c r="S99" s="22"/>
      <c r="T99" s="22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I99" s="97"/>
    </row>
    <row r="100" spans="1:56" ht="15" x14ac:dyDescent="0.25">
      <c r="B100" s="104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I100" s="97"/>
      <c r="AL100" s="7" t="s">
        <v>137</v>
      </c>
      <c r="AM100" s="7" t="str">
        <f>CONCATENATE(G89,"_",G91,"_",G93,"_",G95)</f>
        <v>___</v>
      </c>
      <c r="AP100" s="7" t="s">
        <v>189</v>
      </c>
      <c r="AQ100" s="50">
        <f>COUNTIF(Produkty!A107:A154,AM100)</f>
        <v>0</v>
      </c>
    </row>
    <row r="101" spans="1:56" ht="15.75" x14ac:dyDescent="0.25">
      <c r="A101" s="71">
        <f>IF(AND(G69=Překlady!C15,Sestava4!AL64=0),1,0)</f>
        <v>0</v>
      </c>
      <c r="B101" s="304" t="str">
        <f>IF(A101=1,Překlady!C110,"")</f>
        <v/>
      </c>
      <c r="C101" s="303"/>
      <c r="D101" s="303"/>
      <c r="E101" s="303"/>
      <c r="G101" s="287"/>
      <c r="H101" s="287"/>
      <c r="I101" s="287"/>
      <c r="J101" s="287"/>
      <c r="K101" s="287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I101" s="97"/>
      <c r="AL101" s="17" t="s">
        <v>190</v>
      </c>
      <c r="AM101" s="7" t="str">
        <f>IFERROR((VLOOKUP(AM100,Produkty!A107:B154,2,0)),Překlady!C143)</f>
        <v>Led pásek dle zadaných parametrů nemáme v nabídce</v>
      </c>
      <c r="AN101" s="7" t="e">
        <f>VLOOKUP(AM100,Produkty!A107:C154,3,0)</f>
        <v>#N/A</v>
      </c>
    </row>
    <row r="102" spans="1:56" ht="15" x14ac:dyDescent="0.25">
      <c r="B102" s="104"/>
      <c r="Z102" s="278"/>
      <c r="AA102" s="278"/>
      <c r="AB102" s="278"/>
      <c r="AC102" s="182"/>
      <c r="AE102" s="140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56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56" ht="15" x14ac:dyDescent="0.25">
      <c r="AL104" s="17" t="s">
        <v>5780</v>
      </c>
      <c r="AM104" s="7" t="e">
        <f>VLOOKUP(G112,Ses4_pom!A58:D108,AN104,0)*IF(W112="",1,W112)</f>
        <v>#N/A</v>
      </c>
      <c r="AN104" s="7">
        <f>IF(G89="12V",3,4)</f>
        <v>4</v>
      </c>
    </row>
    <row r="105" spans="1:56" ht="15.75" thickBot="1" x14ac:dyDescent="0.3">
      <c r="BB105" s="17" t="s">
        <v>191</v>
      </c>
      <c r="BC105" s="7" t="str" cm="1">
        <f t="array" ref="BC105">IF(W110=Překlady!C93,RJ_kineticke,IF(OR(G112=Produkty!B220,G112=Produkty!B221),RJ_bat,IF(G112=Produkty!B225,Produkty!B231,"")))</f>
        <v/>
      </c>
      <c r="BD105" s="140" t="s">
        <v>192</v>
      </c>
    </row>
    <row r="106" spans="1:56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</row>
    <row r="107" spans="1:56" ht="15" customHeight="1" x14ac:dyDescent="0.25">
      <c r="B107" s="246" t="str">
        <f>Překlady!C100</f>
        <v>Ovládání:</v>
      </c>
      <c r="C107" s="247"/>
      <c r="D107" s="247"/>
      <c r="E107" s="247"/>
      <c r="AD107" s="210" t="str">
        <f>Překlady!C103&amp;" "&amp;Překlady!C104&amp;":"</f>
        <v>Přehled ovladačů zde:</v>
      </c>
      <c r="AE107" s="210"/>
      <c r="AF107" s="210"/>
      <c r="AG107" s="211"/>
      <c r="AI107" s="97"/>
      <c r="AL107" s="7" t="s">
        <v>193</v>
      </c>
      <c r="AM107" s="7" t="str">
        <f>IFERROR((VLOOKUP(AQ107,Ses4_pom!$A$37:$B$55,2,0)),"")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194</v>
      </c>
      <c r="AX107" s="7" t="s">
        <v>195</v>
      </c>
    </row>
    <row r="108" spans="1:56" ht="15" customHeight="1" x14ac:dyDescent="0.25">
      <c r="B108" s="246"/>
      <c r="C108" s="247"/>
      <c r="D108" s="247"/>
      <c r="E108" s="247"/>
      <c r="AD108" s="210"/>
      <c r="AE108" s="210"/>
      <c r="AF108" s="210"/>
      <c r="AG108" s="211"/>
      <c r="AI108" s="97"/>
      <c r="AM108" s="7" t="str">
        <f>IFERROR((VLOOKUP(AQ108,Ses4_pom!$A$37:$B$55,2,0)),"")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</row>
    <row r="109" spans="1:56" ht="15" x14ac:dyDescent="0.25">
      <c r="B109" s="104"/>
      <c r="AI109" s="97"/>
      <c r="AM109" s="7" t="str">
        <f>IFERROR((VLOOKUP(AQ109,Ses4_pom!$A$37:$B$55,2,0)),"")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</row>
    <row r="110" spans="1:56" ht="15.75" x14ac:dyDescent="0.25">
      <c r="B110" s="249" t="str">
        <f>Překlady!C89</f>
        <v>Způsob ovládání sestavy:</v>
      </c>
      <c r="C110" s="250"/>
      <c r="D110" s="250"/>
      <c r="E110" s="250"/>
      <c r="G110" s="281"/>
      <c r="H110" s="281"/>
      <c r="I110" s="281"/>
      <c r="J110" s="281"/>
      <c r="K110" s="281"/>
      <c r="L110" s="281"/>
      <c r="M110" s="281"/>
      <c r="N110" s="281"/>
      <c r="O110" s="281"/>
      <c r="Q110" s="215" t="str">
        <f>IF(G110=Překlady!C87,Překlady!C92,"")</f>
        <v/>
      </c>
      <c r="R110" s="215"/>
      <c r="S110" s="215"/>
      <c r="T110" s="215"/>
      <c r="U110" s="215"/>
      <c r="W110" s="306"/>
      <c r="X110" s="306"/>
      <c r="Y110" s="183"/>
      <c r="Z110" s="184"/>
      <c r="AA110" s="184"/>
      <c r="AB110" s="184"/>
      <c r="AI110" s="97"/>
      <c r="AM110" s="7" t="str">
        <f>IFERROR((VLOOKUP(AQ110,Ses4_pom!$A$37:$B$55,2,0)),"")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IF(AND(G110=Překlady!C87,OR(Sestava4!W110=Překlady!C93,W110=Překlady!C94)),1,2)</f>
        <v>2</v>
      </c>
    </row>
    <row r="111" spans="1:56" ht="15" x14ac:dyDescent="0.25">
      <c r="B111" s="104"/>
      <c r="AI111" s="97"/>
      <c r="AM111" s="7" t="str">
        <f>IFERROR((VLOOKUP(AQ111,Ses4_pom!$A$37:$B$55,2,0)),"")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6575</v>
      </c>
      <c r="BC111" s="7" t="str">
        <f>IF(AND(ISBLANK(G114)=FALSE,$BD$106=1),Překlady!C97,"")</f>
        <v/>
      </c>
    </row>
    <row r="112" spans="1:56" ht="15.75" customHeight="1" x14ac:dyDescent="0.25">
      <c r="B112" s="277" t="str">
        <f>IF(AY112=1,Překlady!C90,"")</f>
        <v/>
      </c>
      <c r="C112" s="215"/>
      <c r="D112" s="215"/>
      <c r="E112" s="215"/>
      <c r="G112" s="279"/>
      <c r="H112" s="279"/>
      <c r="I112" s="279"/>
      <c r="J112" s="279"/>
      <c r="K112" s="279"/>
      <c r="L112" s="279"/>
      <c r="M112" s="279"/>
      <c r="N112" s="279"/>
      <c r="O112" s="279"/>
      <c r="P112" s="185"/>
      <c r="Q112" s="215" t="str">
        <f>IF(AL113=1,Překlady!C96,"")</f>
        <v/>
      </c>
      <c r="R112" s="215"/>
      <c r="S112" s="215"/>
      <c r="T112" s="215"/>
      <c r="U112" s="215"/>
      <c r="W112" s="287"/>
      <c r="X112" s="287"/>
      <c r="Y112" s="50"/>
      <c r="Z112" s="288" t="str">
        <f>IF(AL132=1,Překlady!C128,"")</f>
        <v/>
      </c>
      <c r="AA112" s="288"/>
      <c r="AB112" s="288"/>
      <c r="AC112" s="288"/>
      <c r="AD112" s="288"/>
      <c r="AE112" s="288"/>
      <c r="AG112" s="117"/>
      <c r="AI112" s="97"/>
      <c r="AM112" s="7" t="str">
        <f>IFERROR((VLOOKUP(AQ112,Ses4_pom!$A$37:$B$55,2,0)),"")</f>
        <v/>
      </c>
      <c r="AN112" s="7">
        <v>6</v>
      </c>
      <c r="AQ112" s="7" t="str">
        <f t="shared" si="0"/>
        <v>_6</v>
      </c>
      <c r="AW112" s="169"/>
      <c r="AX112" s="186" t="s">
        <v>198</v>
      </c>
      <c r="AY112" s="169" t="str">
        <f>IFERROR((VLOOKUP(G110,AX108:AY111,2,0)),"")</f>
        <v/>
      </c>
      <c r="BC112" s="7" t="str">
        <f>IF(AND(ISBLANK(G114)=FALSE,$BD$106=1),Překlady!C98,"")</f>
        <v/>
      </c>
    </row>
    <row r="113" spans="2:50" ht="15" x14ac:dyDescent="0.25">
      <c r="B113" s="104"/>
      <c r="AI113" s="97"/>
      <c r="AK113" s="140" t="s">
        <v>199</v>
      </c>
      <c r="AL113" s="50">
        <f>IF(AY112=1,IF(OR(AL64=1,AL65=1),1,2),2)</f>
        <v>2</v>
      </c>
      <c r="AM113" s="7" t="str">
        <f>IFERROR((VLOOKUP(AQ113,Ses4_pom!$A$37:$B$55,2,0)),"")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277" t="str">
        <f>Překlady!C95</f>
        <v>Jednotka:</v>
      </c>
      <c r="C114" s="215"/>
      <c r="D114" s="215"/>
      <c r="E114" s="215"/>
      <c r="F114" s="187"/>
      <c r="G114" s="302"/>
      <c r="H114" s="302"/>
      <c r="I114" s="302"/>
      <c r="J114" s="302"/>
      <c r="K114" s="302"/>
      <c r="L114" s="302"/>
      <c r="M114" s="302"/>
      <c r="N114" s="302"/>
      <c r="O114" s="302"/>
      <c r="Q114" s="303" t="str">
        <f>IF($BD$106=1,Překlady!C102,"")</f>
        <v/>
      </c>
      <c r="R114" s="303"/>
      <c r="S114" s="303"/>
      <c r="T114" s="303"/>
      <c r="U114" s="303"/>
      <c r="W114" s="214"/>
      <c r="X114" s="214"/>
      <c r="Y114" s="214"/>
      <c r="Z114" s="214"/>
      <c r="AA114" s="214"/>
      <c r="AB114" s="214"/>
      <c r="AC114" s="214"/>
      <c r="AI114" s="97"/>
      <c r="AK114" s="140" t="s">
        <v>200</v>
      </c>
      <c r="AL114" s="7">
        <f>IF(OR(AL115=1,AL116=1),1,2)</f>
        <v>2</v>
      </c>
      <c r="AM114" s="7" t="str">
        <f>IFERROR((VLOOKUP(AQ114,Ses4_pom!$A$37:$B$55,2,0)),"")</f>
        <v/>
      </c>
      <c r="AN114" s="7">
        <v>8</v>
      </c>
      <c r="AQ114" s="7" t="str">
        <f t="shared" si="0"/>
        <v>_8</v>
      </c>
    </row>
    <row r="115" spans="2:50" ht="15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IFERROR((VLOOKUP(AQ115,Ses4_pom!$A$37:$B$55,2,0)),"")</f>
        <v/>
      </c>
      <c r="AN115" s="7">
        <v>9</v>
      </c>
      <c r="AQ115" s="7" t="str">
        <f t="shared" si="0"/>
        <v>_9</v>
      </c>
    </row>
    <row r="116" spans="2:50" ht="15" x14ac:dyDescent="0.25">
      <c r="B116" s="104"/>
      <c r="C116" s="258" t="str">
        <f>IF(ISBLANK(G114)=FALSE,IF(AM120&gt;AM104,Překlady!C121,""),"")</f>
        <v/>
      </c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R116" s="17"/>
      <c r="AI116" s="97"/>
      <c r="AL116" s="7">
        <f>IF(W110=Překlady!C94,IF(G112=Produkty!B220,1,2),2)</f>
        <v>2</v>
      </c>
      <c r="AM116" s="7" t="str">
        <f>IFERROR((VLOOKUP(AQ116,Ses4_pom!$A$37:$B$55,2,0)),"")</f>
        <v/>
      </c>
      <c r="AN116" s="7">
        <v>10</v>
      </c>
      <c r="AQ116" s="7" t="str">
        <f t="shared" si="0"/>
        <v>_10</v>
      </c>
    </row>
    <row r="117" spans="2:50" ht="15" x14ac:dyDescent="0.25">
      <c r="B117" s="104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R117" s="17"/>
      <c r="AI117" s="97"/>
      <c r="AX117" s="7" t="s">
        <v>201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202</v>
      </c>
    </row>
    <row r="119" spans="2:50" ht="15" x14ac:dyDescent="0.25">
      <c r="B119" s="104"/>
      <c r="AI119" s="97"/>
      <c r="AL119" s="186" t="s">
        <v>203</v>
      </c>
      <c r="AM119" s="169" t="e">
        <f>VLOOKUP(G89,AL123:AM124,2,0)</f>
        <v>#N/A</v>
      </c>
      <c r="AX119" s="7" t="s">
        <v>204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205</v>
      </c>
      <c r="AM120" s="7" t="e">
        <f>(I72+I73+O72+O73)/1000*VLOOKUP(G98,Produkty!B107:M154,12,0)</f>
        <v>#N/A</v>
      </c>
    </row>
    <row r="121" spans="2:50" ht="15" x14ac:dyDescent="0.25">
      <c r="B121" s="104"/>
      <c r="AI121" s="97"/>
      <c r="AL121" s="7" t="s">
        <v>206</v>
      </c>
      <c r="AM121" s="188">
        <v>0.3</v>
      </c>
    </row>
    <row r="122" spans="2:50" ht="15" x14ac:dyDescent="0.25">
      <c r="B122" s="104"/>
      <c r="C122" s="294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6"/>
      <c r="AI122" s="97"/>
      <c r="AM122" s="7" t="e">
        <f>CEILING(AM120*(1+AM121),1)</f>
        <v>#N/A</v>
      </c>
    </row>
    <row r="123" spans="2:50" ht="15" x14ac:dyDescent="0.25">
      <c r="B123" s="104"/>
      <c r="C123" s="29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98"/>
      <c r="AI123" s="97"/>
      <c r="AL123" s="7" t="s">
        <v>176</v>
      </c>
      <c r="AM123" s="7" t="e" cm="1">
        <f t="array" ref="AM123">INDEX(Produkty!M234:M239,MATCH(1,(Sestava4!AM122&gt;=Produkty!K234:K239)*(AM122&lt;=Produkty!L234:L239),0))</f>
        <v>#N/A</v>
      </c>
    </row>
    <row r="124" spans="2:50" ht="15" x14ac:dyDescent="0.25">
      <c r="B124" s="104"/>
      <c r="C124" s="29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98"/>
      <c r="AI124" s="97"/>
      <c r="AL124" s="7" t="s">
        <v>207</v>
      </c>
      <c r="AM124" s="7" t="e" cm="1">
        <f t="array" ref="AM124">INDEX(Produkty!M243:M247,MATCH(1,(AM122&gt;=Produkty!K243:K247)*(AM122&lt;=Produkty!L243:L247),0))</f>
        <v>#N/A</v>
      </c>
    </row>
    <row r="125" spans="2:50" ht="15" x14ac:dyDescent="0.25">
      <c r="B125" s="104"/>
      <c r="C125" s="29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98"/>
      <c r="AI125" s="97"/>
    </row>
    <row r="126" spans="2:50" ht="15" customHeight="1" x14ac:dyDescent="0.25">
      <c r="B126" s="104"/>
      <c r="C126" s="29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98"/>
      <c r="AI126" s="97"/>
    </row>
    <row r="127" spans="2:50" ht="15" customHeight="1" x14ac:dyDescent="0.25">
      <c r="B127" s="104"/>
      <c r="C127" s="299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1"/>
      <c r="AI127" s="97"/>
      <c r="AK127" s="140" t="s">
        <v>196</v>
      </c>
      <c r="AL127" s="140" t="e">
        <f>IF(G110=Překlady!C85,VLOOKUP(Ses1_pom!B5,Ses1_pom!B7:D22,3,0),VLOOKUP(Ses1_pom!B5,Ses1_pom!B7:C22,2,0))</f>
        <v>#N/A</v>
      </c>
    </row>
    <row r="128" spans="2:50" ht="15" x14ac:dyDescent="0.25">
      <c r="B128" s="104"/>
      <c r="AI128" s="97"/>
      <c r="AL128" s="140"/>
    </row>
    <row r="129" spans="2:39" ht="15.75" x14ac:dyDescent="0.25">
      <c r="B129" s="104"/>
      <c r="C129" s="74" t="str">
        <f>Překlady!C135</f>
        <v>Pro pokračování vyplňte pole Počet sestav níže.</v>
      </c>
      <c r="AI129" s="97"/>
      <c r="AL129" s="140" t="e">
        <f>IF(AL127=1,1,IF(AL127=2,2,IF(AL127=3,1,"")))</f>
        <v>#N/A</v>
      </c>
    </row>
    <row r="130" spans="2:39" ht="28.15" customHeight="1" x14ac:dyDescent="0.25">
      <c r="B130" s="290" t="str">
        <f>Překlady!C131</f>
        <v>Počet sestav:</v>
      </c>
      <c r="C130" s="291"/>
      <c r="D130" s="291"/>
      <c r="E130" s="291"/>
      <c r="G130" s="292"/>
      <c r="H130" s="292"/>
      <c r="I130" s="292"/>
      <c r="K130" s="293" t="str">
        <f>IF(AM130=TRUE,Překlady!$C$105,"")</f>
        <v/>
      </c>
      <c r="L130" s="293"/>
      <c r="M130" s="293"/>
      <c r="N130" s="293"/>
      <c r="R130" s="289" t="str">
        <f>Překlady!$C$11&amp;" 1"</f>
        <v>Sestava 1</v>
      </c>
      <c r="S130" s="289"/>
      <c r="T130" s="289"/>
      <c r="U130" s="289"/>
      <c r="W130" s="289" t="str">
        <f>Překlady!$C$11&amp;" 2"</f>
        <v>Sestava 2</v>
      </c>
      <c r="X130" s="289"/>
      <c r="Y130" s="289"/>
      <c r="Z130" s="289"/>
      <c r="AA130" s="50"/>
      <c r="AC130" s="289" t="str">
        <f>Překlady!$C$11&amp;" 3"</f>
        <v>Sestava 3</v>
      </c>
      <c r="AD130" s="289"/>
      <c r="AE130" s="289"/>
      <c r="AF130" s="289"/>
      <c r="AI130" s="97"/>
      <c r="AL130" s="140" t="e">
        <f>IF(AL127=3,2,"")</f>
        <v>#N/A</v>
      </c>
      <c r="AM130" s="7" t="b">
        <f>G130&lt;&gt;""</f>
        <v>0</v>
      </c>
    </row>
    <row r="131" spans="2:39" ht="15" x14ac:dyDescent="0.25">
      <c r="B131" s="104"/>
      <c r="AI131" s="97"/>
      <c r="AL131" s="140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40" t="s">
        <v>5830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t="15" hidden="1" x14ac:dyDescent="0.25">
      <c r="P138" s="189"/>
      <c r="Q138" s="18"/>
      <c r="R138" s="18"/>
      <c r="S138" s="18"/>
      <c r="T138" s="18"/>
      <c r="U138" s="18"/>
      <c r="V138" s="18"/>
      <c r="W138" s="18"/>
    </row>
    <row r="139" spans="2:39" ht="15" hidden="1" x14ac:dyDescent="0.25">
      <c r="P139" s="189"/>
      <c r="Q139" s="18"/>
      <c r="R139" s="18"/>
      <c r="S139" s="18"/>
      <c r="T139" s="18"/>
      <c r="U139" s="18"/>
      <c r="V139" s="18"/>
      <c r="W139" s="18"/>
    </row>
    <row r="140" spans="2:39" ht="15" hidden="1" x14ac:dyDescent="0.25">
      <c r="P140" s="190"/>
      <c r="Q140" s="141"/>
      <c r="R140" s="141"/>
      <c r="S140" s="141"/>
      <c r="T140" s="141"/>
      <c r="U140" s="141"/>
      <c r="V140" s="141"/>
      <c r="W140" s="141"/>
    </row>
    <row r="147" spans="3:3" ht="15" hidden="1" x14ac:dyDescent="0.25">
      <c r="C147" s="140"/>
    </row>
  </sheetData>
  <sheetProtection algorithmName="SHA-512" hashValue="APluuWlawUtcKuHGe7OAGSJmHm0EFqfo+dw8KVBGX/JmSb0vQJfTW4ECgrYKqIX0XrNXg9XZ8Lxej1YJ+p55GA==" saltValue="igOcOQuZqP18kSWfzOkMEA==" spinCount="100000" sheet="1" objects="1" scenarios="1"/>
  <mergeCells count="134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Z102:AB102"/>
    <mergeCell ref="B107:E108"/>
    <mergeCell ref="AD107:AG108"/>
    <mergeCell ref="B110:E110"/>
    <mergeCell ref="G110:O110"/>
    <mergeCell ref="Q110:U110"/>
    <mergeCell ref="W110:X110"/>
    <mergeCell ref="C116:O117"/>
    <mergeCell ref="C122:AF127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</mergeCells>
  <conditionalFormatting sqref="B101">
    <cfRule type="expression" dxfId="67" priority="16">
      <formula>$A$101=1</formula>
    </cfRule>
  </conditionalFormatting>
  <conditionalFormatting sqref="B114">
    <cfRule type="expression" dxfId="66" priority="25">
      <formula>$BD$106=1</formula>
    </cfRule>
  </conditionalFormatting>
  <conditionalFormatting sqref="B5:E6">
    <cfRule type="cellIs" dxfId="65" priority="4" operator="equal">
      <formula>$E$2</formula>
    </cfRule>
  </conditionalFormatting>
  <conditionalFormatting sqref="B112:E112">
    <cfRule type="expression" dxfId="64" priority="23">
      <formula>$AY$112=1</formula>
    </cfRule>
  </conditionalFormatting>
  <conditionalFormatting sqref="C116:O117">
    <cfRule type="notContainsBlanks" dxfId="63" priority="13">
      <formula>LEN(TRIM(C116))&gt;0</formula>
    </cfRule>
  </conditionalFormatting>
  <conditionalFormatting sqref="G18">
    <cfRule type="notContainsBlanks" dxfId="62" priority="20">
      <formula>LEN(TRIM(G18))&gt;0</formula>
    </cfRule>
  </conditionalFormatting>
  <conditionalFormatting sqref="G29">
    <cfRule type="expression" dxfId="61" priority="64">
      <formula>ISNUMBER($G$27)</formula>
    </cfRule>
  </conditionalFormatting>
  <conditionalFormatting sqref="G73">
    <cfRule type="expression" dxfId="60" priority="12">
      <formula>$AM$60=2</formula>
    </cfRule>
  </conditionalFormatting>
  <conditionalFormatting sqref="G112">
    <cfRule type="expression" dxfId="59" priority="26">
      <formula>$AY$112=1</formula>
    </cfRule>
  </conditionalFormatting>
  <conditionalFormatting sqref="G114">
    <cfRule type="expression" dxfId="58" priority="24">
      <formula>$BD$106=1</formula>
    </cfRule>
  </conditionalFormatting>
  <conditionalFormatting sqref="G101:K101">
    <cfRule type="expression" dxfId="57" priority="15">
      <formula>$A$101=1</formula>
    </cfRule>
  </conditionalFormatting>
  <conditionalFormatting sqref="G20:O20">
    <cfRule type="notContainsBlanks" dxfId="56" priority="19">
      <formula>LEN(TRIM(G20))&gt;0</formula>
    </cfRule>
  </conditionalFormatting>
  <conditionalFormatting sqref="G30:O30">
    <cfRule type="notContainsBlanks" dxfId="54" priority="18">
      <formula>LEN(TRIM(G30))&gt;0</formula>
    </cfRule>
  </conditionalFormatting>
  <conditionalFormatting sqref="H5:L6">
    <cfRule type="cellIs" dxfId="52" priority="3" operator="equal">
      <formula>$E$2</formula>
    </cfRule>
  </conditionalFormatting>
  <conditionalFormatting sqref="I73:K73">
    <cfRule type="expression" dxfId="51" priority="11">
      <formula>$AM$60=2</formula>
    </cfRule>
  </conditionalFormatting>
  <conditionalFormatting sqref="K130:N130 R130:U130 W130:Z130 AC130:AF130">
    <cfRule type="expression" dxfId="50" priority="67">
      <formula>$AM$130=TRUE</formula>
    </cfRule>
  </conditionalFormatting>
  <conditionalFormatting sqref="M72">
    <cfRule type="expression" dxfId="49" priority="10">
      <formula>$AW$73=1</formula>
    </cfRule>
  </conditionalFormatting>
  <conditionalFormatting sqref="M73">
    <cfRule type="expression" dxfId="48" priority="8">
      <formula>$AW$74=1</formula>
    </cfRule>
  </conditionalFormatting>
  <conditionalFormatting sqref="M65:N65">
    <cfRule type="expression" dxfId="47" priority="58">
      <formula>AW63=1</formula>
    </cfRule>
  </conditionalFormatting>
  <conditionalFormatting sqref="N5:Q6">
    <cfRule type="cellIs" dxfId="46" priority="2" operator="equal">
      <formula>$E$2</formula>
    </cfRule>
  </conditionalFormatting>
  <conditionalFormatting sqref="O65">
    <cfRule type="expression" dxfId="45" priority="61">
      <formula>#REF!=1</formula>
    </cfRule>
  </conditionalFormatting>
  <conditionalFormatting sqref="O72:P72">
    <cfRule type="expression" dxfId="44" priority="9">
      <formula>$AW$73=1</formula>
    </cfRule>
  </conditionalFormatting>
  <conditionalFormatting sqref="O73:P73">
    <cfRule type="expression" dxfId="43" priority="7">
      <formula>$AW$74=1</formula>
    </cfRule>
  </conditionalFormatting>
  <conditionalFormatting sqref="P65:Q65">
    <cfRule type="expression" dxfId="42" priority="57">
      <formula>AW63=1</formula>
    </cfRule>
  </conditionalFormatting>
  <conditionalFormatting sqref="Q112">
    <cfRule type="expression" dxfId="40" priority="17">
      <formula>$AL$113=1</formula>
    </cfRule>
  </conditionalFormatting>
  <conditionalFormatting sqref="Q114">
    <cfRule type="expression" dxfId="39" priority="65">
      <formula>$BD$106=1</formula>
    </cfRule>
  </conditionalFormatting>
  <conditionalFormatting sqref="R65">
    <cfRule type="expression" dxfId="38" priority="62">
      <formula>#REF!=1</formula>
    </cfRule>
  </conditionalFormatting>
  <conditionalFormatting sqref="S62">
    <cfRule type="expression" dxfId="37" priority="53">
      <formula>$AS$66=1</formula>
    </cfRule>
  </conditionalFormatting>
  <conditionalFormatting sqref="S5:W6">
    <cfRule type="cellIs" dxfId="36" priority="1" operator="equal">
      <formula>$E$2</formula>
    </cfRule>
  </conditionalFormatting>
  <conditionalFormatting sqref="T60:T61">
    <cfRule type="expression" dxfId="35" priority="46">
      <formula>$AL$63=TRUE</formula>
    </cfRule>
  </conditionalFormatting>
  <conditionalFormatting sqref="T60:V60">
    <cfRule type="expression" dxfId="34" priority="47">
      <formula>$AL$63=TRUE</formula>
    </cfRule>
  </conditionalFormatting>
  <conditionalFormatting sqref="T62:AA62">
    <cfRule type="expression" dxfId="33" priority="60">
      <formula>$AL$63=TRUE</formula>
    </cfRule>
  </conditionalFormatting>
  <conditionalFormatting sqref="U60">
    <cfRule type="expression" dxfId="32" priority="40">
      <formula>$AM$60=2</formula>
    </cfRule>
  </conditionalFormatting>
  <conditionalFormatting sqref="V60:V61">
    <cfRule type="expression" dxfId="31" priority="39">
      <formula>$AM$60=2</formula>
    </cfRule>
  </conditionalFormatting>
  <conditionalFormatting sqref="W60">
    <cfRule type="expression" dxfId="30" priority="41">
      <formula>$AM$60=1</formula>
    </cfRule>
  </conditionalFormatting>
  <conditionalFormatting sqref="W62">
    <cfRule type="expression" dxfId="29" priority="56">
      <formula>$AM$60=2</formula>
    </cfRule>
    <cfRule type="expression" dxfId="28" priority="54">
      <formula>$AS$66=3</formula>
    </cfRule>
  </conditionalFormatting>
  <conditionalFormatting sqref="W112">
    <cfRule type="expression" dxfId="26" priority="14">
      <formula>$AL$113=1</formula>
    </cfRule>
  </conditionalFormatting>
  <conditionalFormatting sqref="W114">
    <cfRule type="expression" dxfId="25" priority="66">
      <formula>$BD$106=1</formula>
    </cfRule>
  </conditionalFormatting>
  <conditionalFormatting sqref="W60:AA60">
    <cfRule type="expression" dxfId="24" priority="42">
      <formula>$AM$60=1</formula>
    </cfRule>
  </conditionalFormatting>
  <conditionalFormatting sqref="X60:X61">
    <cfRule type="expression" dxfId="23" priority="36">
      <formula>$AM$60=2</formula>
    </cfRule>
  </conditionalFormatting>
  <conditionalFormatting sqref="X60:AA60">
    <cfRule type="expression" dxfId="22" priority="37">
      <formula>$AM$60=2</formula>
    </cfRule>
  </conditionalFormatting>
  <conditionalFormatting sqref="Y60">
    <cfRule type="expression" dxfId="21" priority="48">
      <formula>$AM$60=2</formula>
    </cfRule>
  </conditionalFormatting>
  <conditionalFormatting sqref="Z112:AE112">
    <cfRule type="expression" dxfId="20" priority="6">
      <formula>$AL$132=1</formula>
    </cfRule>
  </conditionalFormatting>
  <conditionalFormatting sqref="AA60:AA61">
    <cfRule type="expression" dxfId="19" priority="35">
      <formula>$AM$60=2</formula>
    </cfRule>
    <cfRule type="expression" dxfId="18" priority="45">
      <formula>$AM$60=1</formula>
    </cfRule>
  </conditionalFormatting>
  <conditionalFormatting sqref="AA63:AA74">
    <cfRule type="expression" dxfId="17" priority="59">
      <formula>$AL$64=1</formula>
    </cfRule>
  </conditionalFormatting>
  <conditionalFormatting sqref="AA68">
    <cfRule type="expression" dxfId="16" priority="49">
      <formula>$AS$66=6</formula>
    </cfRule>
    <cfRule type="expression" dxfId="15" priority="55">
      <formula>$AN$66=2</formula>
    </cfRule>
  </conditionalFormatting>
  <conditionalFormatting sqref="AA75">
    <cfRule type="expression" dxfId="14" priority="51">
      <formula>$AS$66=5</formula>
    </cfRule>
  </conditionalFormatting>
  <conditionalFormatting sqref="AB61">
    <cfRule type="expression" dxfId="13" priority="50">
      <formula>$AS$66=4</formula>
    </cfRule>
  </conditionalFormatting>
  <conditionalFormatting sqref="AB62">
    <cfRule type="expression" dxfId="12" priority="52">
      <formula>$AS$66=2</formula>
    </cfRule>
  </conditionalFormatting>
  <conditionalFormatting sqref="AB62:AC62">
    <cfRule type="expression" dxfId="11" priority="38">
      <formula>$AL$64=1</formula>
    </cfRule>
  </conditionalFormatting>
  <conditionalFormatting sqref="AB67:AC67">
    <cfRule type="expression" dxfId="10" priority="33">
      <formula>$AM$61=2</formula>
    </cfRule>
  </conditionalFormatting>
  <conditionalFormatting sqref="AB69:AC69">
    <cfRule type="expression" dxfId="9" priority="44">
      <formula>$AM$61=2</formula>
    </cfRule>
  </conditionalFormatting>
  <conditionalFormatting sqref="AB74:AC74">
    <cfRule type="expression" dxfId="8" priority="43">
      <formula>$AL$64=1</formula>
    </cfRule>
  </conditionalFormatting>
  <conditionalFormatting sqref="AC62:AC67">
    <cfRule type="expression" dxfId="7" priority="32">
      <formula>$AM$61=1</formula>
    </cfRule>
    <cfRule type="expression" dxfId="6" priority="34">
      <formula>$AM$61=2</formula>
    </cfRule>
  </conditionalFormatting>
  <conditionalFormatting sqref="AC68">
    <cfRule type="expression" dxfId="5" priority="31">
      <formula>$AM$61=1</formula>
    </cfRule>
  </conditionalFormatting>
  <conditionalFormatting sqref="AC69:AC74">
    <cfRule type="expression" dxfId="4" priority="30">
      <formula>$AL$64=1</formula>
    </cfRule>
  </conditionalFormatting>
  <conditionalFormatting sqref="AC71:AC72">
    <cfRule type="expression" dxfId="3" priority="29">
      <formula>$AM$61=2</formula>
    </cfRule>
  </conditionalFormatting>
  <conditionalFormatting sqref="AG112">
    <cfRule type="expression" dxfId="2" priority="5">
      <formula>$AL$132=1</formula>
    </cfRule>
  </conditionalFormatting>
  <dataValidations count="22">
    <dataValidation type="list" allowBlank="1" showInputMessage="1" showErrorMessage="1" sqref="G65:K65" xr:uid="{0BA51726-F1B2-4DE6-9DF4-9AEE90848BFC}">
      <formula1>$AL$38:$AL$39</formula1>
    </dataValidation>
    <dataValidation type="list" allowBlank="1" showInputMessage="1" showErrorMessage="1" sqref="G63:K63" xr:uid="{1BBD4663-3CE3-4F89-B475-701D7D07A788}">
      <formula1>$AL$36:$AL$37</formula1>
    </dataValidation>
    <dataValidation type="whole" allowBlank="1" showInputMessage="1" showErrorMessage="1" sqref="G130:I130" xr:uid="{69CC1CB5-2E08-4359-811F-9AC58F1125A0}">
      <formula1>1</formula1>
      <formula2>999</formula2>
    </dataValidation>
    <dataValidation type="list" allowBlank="1" showInputMessage="1" showErrorMessage="1" sqref="AG112" xr:uid="{A5D1FED1-92AF-46D8-B571-797EF65A0E78}">
      <formula1>$AM$132:$AM$133</formula1>
    </dataValidation>
    <dataValidation type="list" showInputMessage="1" showErrorMessage="1" sqref="W112:X112" xr:uid="{3E2EA19D-CFBC-463F-8AEF-B6968B201B27}">
      <formula1>$AL$129:$AL$130</formula1>
    </dataValidation>
    <dataValidation type="list" allowBlank="1" showInputMessage="1" showErrorMessage="1" sqref="W114" xr:uid="{AE0B9C31-DE40-4E3A-90FA-7A8738485757}">
      <formula1>$BC$111:$BC$112</formula1>
    </dataValidation>
    <dataValidation type="list" allowBlank="1" showInputMessage="1" showErrorMessage="1" sqref="G114" xr:uid="{0460D21A-2E9D-4B16-BBB1-0721DA43147B}">
      <formula1>$BC$105:$BC$107</formula1>
    </dataValidation>
    <dataValidation type="list" allowBlank="1" showInputMessage="1" showErrorMessage="1" sqref="W110" xr:uid="{9C596214-9EEF-4ECE-A919-9C16FDDD338B}">
      <formula1>$AT$106:$AT$107</formula1>
    </dataValidation>
    <dataValidation type="list" allowBlank="1" showInputMessage="1" showErrorMessage="1" sqref="G34" xr:uid="{2CF18705-8981-4B6E-9F2E-591D0F77081F}">
      <formula1>$AT$27:$AT$30</formula1>
    </dataValidation>
    <dataValidation type="list" allowBlank="1" showInputMessage="1" showErrorMessage="1" sqref="G21" xr:uid="{CB330E37-CE87-4474-8C07-419206479F1B}">
      <formula1>$AT$22:$AT$25</formula1>
    </dataValidation>
    <dataValidation type="list" allowBlank="1" showInputMessage="1" showErrorMessage="1" sqref="F35 G25:G26" xr:uid="{3BB43FD7-91C4-45EA-8C22-9109F98F7B29}">
      <formula1>$AO$27:$AO$28</formula1>
    </dataValidation>
    <dataValidation type="list" allowBlank="1" showInputMessage="1" showErrorMessage="1" sqref="G31" xr:uid="{EE5BA927-CC72-4AB1-8D2C-0A7927DF913D}">
      <formula1>INDIRECT($AN$25)</formula1>
    </dataValidation>
    <dataValidation type="list" allowBlank="1" showInputMessage="1" showErrorMessage="1" sqref="G17" xr:uid="{1DD1F341-9754-4B08-9D23-6BB23B69B6A2}">
      <formula1>$AO$19:$AO$21</formula1>
    </dataValidation>
    <dataValidation type="list" allowBlank="1" showInputMessage="1" showErrorMessage="1" sqref="G19" xr:uid="{1A6A044C-E888-45B8-9688-08949F88C9C6}">
      <formula1>INDIRECT(AO15)</formula1>
    </dataValidation>
    <dataValidation type="whole" allowBlank="1" showInputMessage="1" showErrorMessage="1" sqref="G36 G23:O23 G27:O27" xr:uid="{2EA3497D-73B1-499E-AB27-4AF7F55018C6}">
      <formula1>1</formula1>
      <formula2>1000</formula2>
    </dataValidation>
    <dataValidation type="list" allowBlank="1" showInputMessage="1" showErrorMessage="1" sqref="G98 Q98:T98" xr:uid="{783CD515-9374-4B96-85F6-FAFA1FD1E966}">
      <formula1>$AM$101:$AM$103</formula1>
    </dataValidation>
    <dataValidation type="list" allowBlank="1" showInputMessage="1" showErrorMessage="1" sqref="G95" xr:uid="{958E89B9-1D08-41E1-825C-A65306B873E1}">
      <formula1>INDIRECT($AM$90)</formula1>
    </dataValidation>
    <dataValidation type="list" allowBlank="1" showInputMessage="1" showErrorMessage="1" sqref="G93" xr:uid="{D196002F-4D46-46B4-BE3C-196A04D9CD71}">
      <formula1>INDIRECT($AM$95)</formula1>
    </dataValidation>
    <dataValidation type="list" allowBlank="1" showInputMessage="1" showErrorMessage="1" sqref="G91" xr:uid="{9E50F0E4-0DE2-482B-9567-53BDA5E3FFFE}">
      <formula1>$AM$85:$AM$87</formula1>
    </dataValidation>
    <dataValidation type="list" allowBlank="1" showInputMessage="1" showErrorMessage="1" sqref="G89" xr:uid="{DA4E1F67-22F8-4D29-9C71-81EC3DEC66BC}">
      <formula1>"12V,24V"</formula1>
    </dataValidation>
    <dataValidation type="list" allowBlank="1" showInputMessage="1" showErrorMessage="1" sqref="P65:Q65" xr:uid="{40BC1B3F-FF88-41AF-A324-EFE9CDB6BA01}">
      <formula1>$AL$71:$AL$72</formula1>
    </dataValidation>
    <dataValidation type="list" allowBlank="1" showInputMessage="1" showErrorMessage="1" sqref="G67:K67" xr:uid="{7AA53175-392F-4AC7-A512-47ACCE1CD07D}">
      <formula1>$AL$71:$AL$74</formula1>
    </dataValidation>
  </dataValidations>
  <hyperlinks>
    <hyperlink ref="Z2:AB3" location="Úvod!A1" display="Úvod!A1" xr:uid="{4B4D2050-3D33-41E6-A210-CCE1E216C8C6}"/>
    <hyperlink ref="AD107:AG108" location="Ovlad!A1" display="Ovlad!A1" xr:uid="{3E6A48E2-1C7C-4479-9BB2-6237245EBC01}"/>
    <hyperlink ref="K130:N130" location="souhrn!A1" display="souhrn!A1" xr:uid="{41583DE5-F6BE-46C7-9A36-97B112762B90}"/>
    <hyperlink ref="B5:E6" location="Sestava1!A1" display="Sestava1!A1" xr:uid="{7E329FAA-5B3B-4643-A96F-D06C905FEE8D}"/>
    <hyperlink ref="H5:L6" location="Sestava2!A1" display="Sestava2!A1" xr:uid="{E9C582AB-FFFC-409F-B2AD-49A8076860D7}"/>
    <hyperlink ref="N5:Q6" location="Sestava3!A1" display="Sestava3!A1" xr:uid="{53C0EA13-15DC-4568-AB12-E72525E82344}"/>
    <hyperlink ref="S5:W6" location="Sestava4!A1" display="Sestava4!A1" xr:uid="{E295F3A7-5F77-4117-9B39-AC9287DFF003}"/>
    <hyperlink ref="R130:U130" location="Sestava1!A1" display="Sestava1!A1" xr:uid="{4B3A69E0-9192-48CD-B6B1-CC4DDFF7D068}"/>
    <hyperlink ref="W130:Z130" location="Sestava2!A1" display="Sestava2!A1" xr:uid="{CA8A1858-6EBB-4828-8A8C-F325BB506B1F}"/>
    <hyperlink ref="AC130:AF130" location="Sestava3!A1" display="Sestava3!A1" xr:uid="{28CB8994-D669-4A0D-A80E-D511A9C56241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3" id="{214E1548-6DFD-42FB-B4D9-5136AE1EBD26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B17 G17 B19 G19 B21 G21 B23 G25 B25:B27 E26:G26 G27 B31 G31 G34 B34:B36 E35:F35 AK46 J53:K53</xm:sqref>
        </x14:conditionalFormatting>
        <x14:conditionalFormatting xmlns:xm="http://schemas.microsoft.com/office/excel/2006/main">
          <x14:cfRule type="expression" priority="22" id="{8F4F5291-044F-4DCA-999E-08B9399B56EA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21" id="{5CEC563E-5F6F-454A-A620-AFD59A4D9EEF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28" id="{96EF7E79-952E-47A3-ABC0-F447ED831582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27" id="{9F8241EB-A0AA-4B5A-9ED0-12435CC7688A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1CD4639-6CBE-47D8-B57E-3AA025104227}">
          <x14:formula1>
            <xm:f>Překlady!$C$15:$C$16</xm:f>
          </x14:formula1>
          <xm:sqref>G101:K101</xm:sqref>
        </x14:dataValidation>
        <x14:dataValidation type="list" allowBlank="1" showInputMessage="1" showErrorMessage="1" xr:uid="{8DC75154-E4C2-40B6-9C4F-6289C9C2BB16}">
          <x14:formula1>
            <xm:f>Překlady!$C$106:$C$108</xm:f>
          </x14:formula1>
          <xm:sqref>G38:O38</xm:sqref>
        </x14:dataValidation>
        <x14:dataValidation type="list" allowBlank="1" showInputMessage="1" showErrorMessage="1" xr:uid="{5D459C3F-2B45-44E0-A8DE-2319BDCEE1AA}">
          <x14:formula1>
            <xm:f>Překlady!$C$85:$C$88</xm:f>
          </x14:formula1>
          <xm:sqref>G110</xm:sqref>
        </x14:dataValidation>
        <x14:dataValidation type="list" allowBlank="1" showInputMessage="1" showErrorMessage="1" xr:uid="{2155922E-E620-486E-8889-6AAA55889247}">
          <x14:formula1>
            <xm:f>Překlady!$C$42:$C$45</xm:f>
          </x14:formula1>
          <xm:sqref>G15</xm:sqref>
        </x14:dataValidation>
        <x14:dataValidation type="list" allowBlank="1" showInputMessage="1" showErrorMessage="1" xr:uid="{EB8B54C0-C460-4809-88E3-C7BAF4A7BDC7}">
          <x14:formula1>
            <xm:f>'data-zál'!$B$3:$B$4</xm:f>
          </x14:formula1>
          <xm:sqref>G69:K69</xm:sqref>
        </x14:dataValidation>
        <x14:dataValidation type="list" allowBlank="1" showInputMessage="1" showErrorMessage="1" xr:uid="{BC305B15-AB61-44CB-91BA-E7F474AF8E0C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5792-CBCC-446C-BC9A-E332B8EE5AFD}">
  <sheetPr>
    <tabColor theme="0" tint="-0.249977111117893"/>
  </sheetPr>
  <dimension ref="A1:BT108"/>
  <sheetViews>
    <sheetView topLeftCell="A39" workbookViewId="0">
      <selection activeCell="A57" sqref="A57:D108"/>
    </sheetView>
  </sheetViews>
  <sheetFormatPr defaultRowHeight="15" x14ac:dyDescent="0.25"/>
  <cols>
    <col min="2" max="2" width="31.5703125" customWidth="1"/>
    <col min="3" max="3" width="12.5703125" customWidth="1"/>
    <col min="4" max="4" width="21" customWidth="1"/>
    <col min="5" max="5" width="10.42578125" bestFit="1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2" width="10.7109375" customWidth="1"/>
    <col min="13" max="13" width="10.85546875" customWidth="1"/>
    <col min="14" max="14" width="10.42578125" customWidth="1"/>
    <col min="19" max="19" width="11" customWidth="1"/>
    <col min="22" max="22" width="10.140625" bestFit="1" customWidth="1"/>
    <col min="25" max="25" width="14.85546875" customWidth="1"/>
    <col min="27" max="28" width="7" bestFit="1" customWidth="1"/>
    <col min="60" max="61" width="10.140625" bestFit="1" customWidth="1"/>
    <col min="62" max="62" width="12" customWidth="1"/>
    <col min="63" max="64" width="10.140625" bestFit="1" customWidth="1"/>
  </cols>
  <sheetData>
    <row r="1" spans="2:72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 t="e">
        <f>IF(AG23&gt;0,MAX($I$1:AF1)+1,0)</f>
        <v>#REF!</v>
      </c>
      <c r="AH1" t="e">
        <f>IF(AH23&gt;0,MAX($I$1:AG1)+1,0)</f>
        <v>#REF!</v>
      </c>
      <c r="AI1" t="e">
        <f>IF(AI23&gt;0,MAX($I$1:AH1)+1,0)</f>
        <v>#REF!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 t="e">
        <f>IF(AY23&gt;0,MAX($I$1:AX1)+1,0)</f>
        <v>#REF!</v>
      </c>
      <c r="AZ1" t="e">
        <f>IF(AZ23&gt;0,MAX($I$1:AY1)+1,0)</f>
        <v>#REF!</v>
      </c>
      <c r="BA1" t="e">
        <f>IF(BA23&gt;0,MAX($I$1:AZ1)+1,0)</f>
        <v>#REF!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</row>
    <row r="2" spans="2:72" ht="59.25" customHeight="1" x14ac:dyDescent="0.25">
      <c r="Y2" s="327" t="str">
        <f>Produkty!B214</f>
        <v>StrongLumio přijímač/rozvaděč pro bezdrátové samonapájecí vypínače 12/24V</v>
      </c>
      <c r="Z2" s="340" t="s">
        <v>5833</v>
      </c>
      <c r="AA2" s="327" t="str">
        <f>Produkty!B214</f>
        <v>StrongLumio přijímač/rozvaděč pro bezdrátové samonapájecí vypínače 12/24V</v>
      </c>
      <c r="AB2" s="335"/>
      <c r="AC2" s="338" t="s">
        <v>5834</v>
      </c>
      <c r="AD2" s="327" t="str">
        <f>Produkty!B215</f>
        <v>StrongLumio přijímač pro bezdrátové samonapájecí vypínače 12/24V (Wi-fi)</v>
      </c>
      <c r="AE2" s="335"/>
      <c r="AF2" s="338" t="s">
        <v>5833</v>
      </c>
      <c r="AG2" s="327" t="e">
        <f>Produkty!#REF!</f>
        <v>#REF!</v>
      </c>
      <c r="AH2" s="335"/>
      <c r="AI2" s="338" t="s">
        <v>5834</v>
      </c>
      <c r="AJ2" s="327" t="str">
        <f>Produkty!B220</f>
        <v>StrongLumio dálkový ovladač RF univerzální 2 v 1</v>
      </c>
      <c r="AK2" s="335"/>
      <c r="AL2" s="338" t="s">
        <v>5833</v>
      </c>
      <c r="AM2" s="327" t="str">
        <f>Produkty!B220</f>
        <v>StrongLumio dálkový ovladač RF univerzální 2 v 1</v>
      </c>
      <c r="AN2" s="335"/>
      <c r="AO2" s="338" t="s">
        <v>5834</v>
      </c>
      <c r="AP2" s="327" t="str">
        <f>Produkty!B221</f>
        <v>StrongLumio dálkový ovladač otočný DIM/CCT/RGB/RGBW - 1 zóna</v>
      </c>
      <c r="AQ2" s="335"/>
      <c r="AR2" s="338" t="s">
        <v>5833</v>
      </c>
      <c r="AS2" s="327" t="str">
        <f>Produkty!B221</f>
        <v>StrongLumio dálkový ovladač otočný DIM/CCT/RGB/RGBW - 1 zóna</v>
      </c>
      <c r="AT2" s="335"/>
      <c r="AU2" s="338" t="s">
        <v>5834</v>
      </c>
      <c r="AV2" s="327" t="str">
        <f>Produkty!B222</f>
        <v>StrongLumio Power dálkový ovladač/stmívač 1x25A</v>
      </c>
      <c r="AW2" s="335"/>
      <c r="AX2" s="338" t="s">
        <v>5833</v>
      </c>
      <c r="AY2" s="327" t="e">
        <f>Produkty!#REF!</f>
        <v>#REF!</v>
      </c>
      <c r="AZ2" s="335"/>
      <c r="BA2" s="352" t="s">
        <v>5834</v>
      </c>
      <c r="BB2" s="343" t="str">
        <f>Produkty!B223</f>
        <v>StrongLumio RF dálkový vypínač/stmívač 12V/24V</v>
      </c>
      <c r="BC2" s="344"/>
      <c r="BD2" s="347" t="s">
        <v>5833</v>
      </c>
      <c r="BE2" s="338"/>
      <c r="BF2" s="343" t="str">
        <f>Produkty!B223</f>
        <v>StrongLumio RF dálkový vypínač/stmívač 12V/24V</v>
      </c>
      <c r="BG2" s="344"/>
      <c r="BH2" s="347" t="s">
        <v>5834</v>
      </c>
      <c r="BI2" s="338"/>
      <c r="BJ2" s="349" t="str">
        <f>Produkty!B224</f>
        <v>StrongLumio RF dálkový ovladač/stmívač 12V/24V 1 zóna</v>
      </c>
      <c r="BK2" s="354" t="s">
        <v>5833</v>
      </c>
      <c r="BL2" s="343" t="str">
        <f>Produkty!B224</f>
        <v>StrongLumio RF dálkový ovladač/stmívač 12V/24V 1 zóna</v>
      </c>
      <c r="BM2" s="344"/>
      <c r="BN2" s="338" t="s">
        <v>5834</v>
      </c>
      <c r="BO2" s="349" t="str">
        <f>Produkty!B225</f>
        <v>StrongLumio bezdrátový nabíjecí dotykový vypínač/stmívač</v>
      </c>
      <c r="BP2" s="352" t="s">
        <v>5833</v>
      </c>
      <c r="BQ2" s="343" t="str">
        <f>Produkty!D225</f>
        <v>StrongLumio bezdrátový nabíjecí dotykový vypínač/stmívač</v>
      </c>
      <c r="BR2" s="344"/>
      <c r="BS2" s="338" t="s">
        <v>5834</v>
      </c>
    </row>
    <row r="3" spans="2:72" ht="15.75" thickBot="1" x14ac:dyDescent="0.3">
      <c r="D3" s="31" t="s">
        <v>5799</v>
      </c>
      <c r="E3" t="str">
        <f>IF(OR(Sestava4!G21=Sestava4!I72,Sestava4!G21=Sestava4!I73,Sestava4!G21=Sestava4!O72,Sestava4!G21=Sestava4!O73),"ano","ne")</f>
        <v>ano</v>
      </c>
      <c r="H3" t="s">
        <v>6941</v>
      </c>
      <c r="X3" s="325" t="s">
        <v>5832</v>
      </c>
      <c r="Y3" s="328"/>
      <c r="Z3" s="341"/>
      <c r="AA3" s="328"/>
      <c r="AB3" s="336"/>
      <c r="AC3" s="339"/>
      <c r="AD3" s="328"/>
      <c r="AE3" s="336"/>
      <c r="AF3" s="339"/>
      <c r="AG3" s="328"/>
      <c r="AH3" s="336"/>
      <c r="AI3" s="339"/>
      <c r="AJ3" s="328"/>
      <c r="AK3" s="336"/>
      <c r="AL3" s="339"/>
      <c r="AM3" s="328"/>
      <c r="AN3" s="336"/>
      <c r="AO3" s="339"/>
      <c r="AP3" s="328"/>
      <c r="AQ3" s="336"/>
      <c r="AR3" s="339"/>
      <c r="AS3" s="328"/>
      <c r="AT3" s="336"/>
      <c r="AU3" s="339"/>
      <c r="AV3" s="328"/>
      <c r="AW3" s="336"/>
      <c r="AX3" s="339"/>
      <c r="AY3" s="328"/>
      <c r="AZ3" s="336"/>
      <c r="BA3" s="353"/>
      <c r="BB3" s="345"/>
      <c r="BC3" s="346"/>
      <c r="BD3" s="348"/>
      <c r="BE3" s="339"/>
      <c r="BF3" s="345"/>
      <c r="BG3" s="346"/>
      <c r="BH3" s="348"/>
      <c r="BI3" s="339"/>
      <c r="BJ3" s="350"/>
      <c r="BK3" s="355"/>
      <c r="BL3" s="345"/>
      <c r="BM3" s="346"/>
      <c r="BN3" s="339"/>
      <c r="BO3" s="350"/>
      <c r="BP3" s="353"/>
      <c r="BQ3" s="345"/>
      <c r="BR3" s="346"/>
      <c r="BS3" s="339"/>
    </row>
    <row r="4" spans="2:72" ht="15.75" thickBot="1" x14ac:dyDescent="0.3">
      <c r="G4" s="334" t="str">
        <f>Překlady!C85</f>
        <v>v profilu</v>
      </c>
      <c r="H4" s="324"/>
      <c r="L4" s="27"/>
      <c r="X4" s="325"/>
      <c r="Y4" s="328"/>
      <c r="Z4" s="341"/>
      <c r="AA4" s="328"/>
      <c r="AB4" s="336"/>
      <c r="AC4" s="339"/>
      <c r="AD4" s="328"/>
      <c r="AE4" s="336"/>
      <c r="AF4" s="339"/>
      <c r="AG4" s="328"/>
      <c r="AH4" s="336"/>
      <c r="AI4" s="339"/>
      <c r="AJ4" s="328"/>
      <c r="AK4" s="336"/>
      <c r="AL4" s="339"/>
      <c r="AM4" s="328"/>
      <c r="AN4" s="336"/>
      <c r="AO4" s="339"/>
      <c r="AP4" s="328"/>
      <c r="AQ4" s="336"/>
      <c r="AR4" s="339"/>
      <c r="AS4" s="328"/>
      <c r="AT4" s="336"/>
      <c r="AU4" s="339"/>
      <c r="AV4" s="328"/>
      <c r="AW4" s="336"/>
      <c r="AX4" s="339"/>
      <c r="AY4" s="328"/>
      <c r="AZ4" s="336"/>
      <c r="BA4" s="353"/>
      <c r="BB4" s="345"/>
      <c r="BC4" s="346"/>
      <c r="BD4" s="348"/>
      <c r="BE4" s="339"/>
      <c r="BF4" s="345"/>
      <c r="BG4" s="346"/>
      <c r="BH4" s="348"/>
      <c r="BI4" s="339"/>
      <c r="BJ4" s="350"/>
      <c r="BK4" s="355"/>
      <c r="BL4" s="345"/>
      <c r="BM4" s="346"/>
      <c r="BN4" s="339"/>
      <c r="BO4" s="350"/>
      <c r="BP4" s="353"/>
      <c r="BQ4" s="345"/>
      <c r="BR4" s="346"/>
      <c r="BS4" s="339"/>
    </row>
    <row r="5" spans="2:72" x14ac:dyDescent="0.25">
      <c r="B5" s="46" t="str">
        <f>CONCATENATE(Sestava4!G63,"_",Sestava4!G65,"_",Sestava4!G67,"_",Sestava4!P65)</f>
        <v>___</v>
      </c>
      <c r="C5" s="330" t="s">
        <v>5824</v>
      </c>
      <c r="D5" s="330"/>
      <c r="E5" s="76" t="s">
        <v>5796</v>
      </c>
      <c r="F5" s="136" t="s">
        <v>5797</v>
      </c>
      <c r="G5" s="138" t="s">
        <v>6803</v>
      </c>
      <c r="H5" s="135" t="s">
        <v>6804</v>
      </c>
      <c r="I5" s="331" t="str">
        <f>Překlady!C88</f>
        <v>vlastní vypínač na zdi</v>
      </c>
      <c r="J5" s="331"/>
      <c r="K5" s="331"/>
      <c r="L5" s="332"/>
      <c r="M5" s="75" t="str">
        <f>Překlady!C85</f>
        <v>v profilu</v>
      </c>
      <c r="N5" s="333" t="s">
        <v>5831</v>
      </c>
      <c r="O5" s="332"/>
      <c r="P5" s="72" t="str">
        <f>Překlady!C85</f>
        <v>v profilu</v>
      </c>
      <c r="Q5" s="134" t="s">
        <v>5832</v>
      </c>
      <c r="R5" s="134"/>
      <c r="S5" s="72" t="str">
        <f>Překlady!C86</f>
        <v>mimo profil</v>
      </c>
      <c r="T5" s="323" t="s">
        <v>5831</v>
      </c>
      <c r="U5" s="323"/>
      <c r="V5" s="324"/>
      <c r="W5" s="72" t="str">
        <f>Překlady!C86</f>
        <v>mimo profil</v>
      </c>
      <c r="X5" s="326"/>
      <c r="Y5" s="329"/>
      <c r="Z5" s="342"/>
      <c r="AA5" s="329"/>
      <c r="AB5" s="337"/>
      <c r="AC5" s="339"/>
      <c r="AD5" s="329"/>
      <c r="AE5" s="337"/>
      <c r="AF5" s="339"/>
      <c r="AG5" s="329"/>
      <c r="AH5" s="337"/>
      <c r="AI5" s="339"/>
      <c r="AJ5" s="329"/>
      <c r="AK5" s="337"/>
      <c r="AL5" s="339"/>
      <c r="AM5" s="329"/>
      <c r="AN5" s="337"/>
      <c r="AO5" s="339"/>
      <c r="AP5" s="329"/>
      <c r="AQ5" s="337"/>
      <c r="AR5" s="339"/>
      <c r="AS5" s="329"/>
      <c r="AT5" s="337"/>
      <c r="AU5" s="339"/>
      <c r="AV5" s="329"/>
      <c r="AW5" s="337"/>
      <c r="AX5" s="339"/>
      <c r="AY5" s="329"/>
      <c r="AZ5" s="337"/>
      <c r="BA5" s="353"/>
      <c r="BB5" s="345"/>
      <c r="BC5" s="346"/>
      <c r="BD5" s="348"/>
      <c r="BE5" s="339"/>
      <c r="BF5" s="345"/>
      <c r="BG5" s="346"/>
      <c r="BH5" s="348"/>
      <c r="BI5" s="339"/>
      <c r="BJ5" s="351"/>
      <c r="BK5" s="356"/>
      <c r="BL5" s="345"/>
      <c r="BM5" s="346"/>
      <c r="BN5" s="339"/>
      <c r="BO5" s="351"/>
      <c r="BP5" s="353"/>
      <c r="BQ5" s="345"/>
      <c r="BR5" s="346"/>
      <c r="BS5" s="339"/>
    </row>
    <row r="6" spans="2:72" ht="15.75" customHeight="1" thickBot="1" x14ac:dyDescent="0.3">
      <c r="B6" s="46" t="s">
        <v>5795</v>
      </c>
      <c r="C6" s="27" t="s">
        <v>5825</v>
      </c>
      <c r="D6" s="27" t="s">
        <v>5826</v>
      </c>
      <c r="E6" s="80" t="s">
        <v>5846</v>
      </c>
      <c r="F6" s="137" t="s">
        <v>5842</v>
      </c>
      <c r="G6" s="320" t="s">
        <v>5842</v>
      </c>
      <c r="H6" s="321"/>
      <c r="I6" s="81" t="s">
        <v>5321</v>
      </c>
      <c r="J6" s="82" t="s">
        <v>5329</v>
      </c>
      <c r="K6" s="82" t="s">
        <v>5193</v>
      </c>
      <c r="L6" s="83" t="s">
        <v>5341</v>
      </c>
      <c r="M6" s="81" t="s">
        <v>5321</v>
      </c>
      <c r="N6" s="82" t="s">
        <v>5329</v>
      </c>
      <c r="O6" s="82" t="s">
        <v>5193</v>
      </c>
      <c r="P6" s="84" t="s">
        <v>5329</v>
      </c>
      <c r="Q6" s="85" t="s">
        <v>5341</v>
      </c>
      <c r="R6" s="82" t="s">
        <v>5193</v>
      </c>
      <c r="S6" s="84" t="s">
        <v>5321</v>
      </c>
      <c r="T6" s="82" t="s">
        <v>5329</v>
      </c>
      <c r="U6" s="82" t="s">
        <v>5340</v>
      </c>
      <c r="V6" s="82" t="s">
        <v>5193</v>
      </c>
      <c r="W6" s="84" t="s">
        <v>5341</v>
      </c>
      <c r="X6" s="86" t="s">
        <v>5329</v>
      </c>
      <c r="Y6" s="84" t="s">
        <v>5329</v>
      </c>
      <c r="Z6" s="86" t="s">
        <v>5193</v>
      </c>
      <c r="AA6" s="83" t="s">
        <v>5459</v>
      </c>
      <c r="AB6" s="84" t="s">
        <v>5329</v>
      </c>
      <c r="AC6" s="83" t="s">
        <v>5193</v>
      </c>
      <c r="AD6" s="83" t="s">
        <v>5333</v>
      </c>
      <c r="AE6" s="84" t="s">
        <v>4890</v>
      </c>
      <c r="AF6" s="83" t="s">
        <v>5193</v>
      </c>
      <c r="AG6" s="84" t="s">
        <v>4890</v>
      </c>
      <c r="AH6" s="84" t="s">
        <v>5134</v>
      </c>
      <c r="AI6" s="83" t="s">
        <v>5193</v>
      </c>
      <c r="AJ6" s="84" t="s">
        <v>5333</v>
      </c>
      <c r="AK6" s="84" t="s">
        <v>4890</v>
      </c>
      <c r="AL6" s="83" t="s">
        <v>5193</v>
      </c>
      <c r="AM6" s="84" t="s">
        <v>4890</v>
      </c>
      <c r="AN6" s="84" t="s">
        <v>5134</v>
      </c>
      <c r="AO6" s="83" t="s">
        <v>5193</v>
      </c>
      <c r="AP6" s="84" t="s">
        <v>5333</v>
      </c>
      <c r="AQ6" s="84" t="s">
        <v>4890</v>
      </c>
      <c r="AR6" s="83" t="s">
        <v>5193</v>
      </c>
      <c r="AS6" s="84" t="s">
        <v>4890</v>
      </c>
      <c r="AT6" s="84" t="s">
        <v>5134</v>
      </c>
      <c r="AU6" s="83" t="s">
        <v>5193</v>
      </c>
      <c r="AV6" s="84" t="s">
        <v>5333</v>
      </c>
      <c r="AW6" s="84" t="s">
        <v>4890</v>
      </c>
      <c r="AX6" s="83" t="s">
        <v>5193</v>
      </c>
      <c r="AY6" s="84" t="s">
        <v>4890</v>
      </c>
      <c r="AZ6" s="84" t="s">
        <v>5134</v>
      </c>
      <c r="BA6" s="86" t="s">
        <v>5193</v>
      </c>
      <c r="BB6" s="84" t="s">
        <v>5321</v>
      </c>
      <c r="BC6" s="82" t="s">
        <v>5329</v>
      </c>
      <c r="BD6" s="82" t="s">
        <v>5193</v>
      </c>
      <c r="BE6" s="83" t="s">
        <v>5341</v>
      </c>
      <c r="BF6" s="84" t="s">
        <v>5321</v>
      </c>
      <c r="BG6" s="82" t="s">
        <v>5329</v>
      </c>
      <c r="BH6" s="82" t="s">
        <v>5193</v>
      </c>
      <c r="BI6" s="83" t="s">
        <v>5459</v>
      </c>
      <c r="BJ6" s="84" t="s">
        <v>4890</v>
      </c>
      <c r="BK6" s="86" t="s">
        <v>5193</v>
      </c>
      <c r="BL6" s="84" t="s">
        <v>4890</v>
      </c>
      <c r="BM6" s="82" t="s">
        <v>5459</v>
      </c>
      <c r="BN6" s="83" t="s">
        <v>5193</v>
      </c>
      <c r="BO6" s="84" t="s">
        <v>5329</v>
      </c>
      <c r="BP6" s="86" t="s">
        <v>5193</v>
      </c>
      <c r="BQ6" s="84" t="s">
        <v>5459</v>
      </c>
      <c r="BR6" s="82" t="s">
        <v>5329</v>
      </c>
      <c r="BS6" s="83" t="s">
        <v>5193</v>
      </c>
    </row>
    <row r="7" spans="2:72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22">
        <f>IF(AND(Sestava4!$G$110=G4,Sestava4!$W$112=1),1,0)</f>
        <v>0</v>
      </c>
      <c r="H7" s="322">
        <f>IF(AND(Sestava4!$G$110=G4,Sestava4!$W$112=2),2,0)</f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1</v>
      </c>
      <c r="AK7">
        <v>2</v>
      </c>
      <c r="AL7">
        <v>0</v>
      </c>
      <c r="AM7">
        <v>0</v>
      </c>
      <c r="AN7">
        <v>0</v>
      </c>
      <c r="AO7">
        <v>0</v>
      </c>
      <c r="AP7">
        <v>1</v>
      </c>
      <c r="AQ7">
        <v>2</v>
      </c>
      <c r="AR7">
        <v>0</v>
      </c>
      <c r="AS7">
        <v>0</v>
      </c>
      <c r="AT7">
        <v>0</v>
      </c>
      <c r="AU7">
        <v>0</v>
      </c>
      <c r="AV7">
        <v>1</v>
      </c>
      <c r="AW7">
        <v>2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 s="46">
        <v>1</v>
      </c>
    </row>
    <row r="8" spans="2:72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209"/>
      <c r="H8" s="209"/>
      <c r="I8">
        <v>1</v>
      </c>
      <c r="J8">
        <v>1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>
        <v>0</v>
      </c>
      <c r="AG8">
        <v>0</v>
      </c>
      <c r="AH8">
        <v>0</v>
      </c>
      <c r="AI8">
        <v>0</v>
      </c>
      <c r="AJ8">
        <v>1</v>
      </c>
      <c r="AK8">
        <v>2</v>
      </c>
      <c r="AL8">
        <v>0</v>
      </c>
      <c r="AM8">
        <v>0</v>
      </c>
      <c r="AN8">
        <v>0</v>
      </c>
      <c r="AO8">
        <v>0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1</v>
      </c>
      <c r="AW8">
        <v>2</v>
      </c>
      <c r="AX8">
        <v>0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2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 s="46">
        <v>2</v>
      </c>
    </row>
    <row r="9" spans="2:72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209"/>
      <c r="H9" s="209"/>
      <c r="I9">
        <v>0</v>
      </c>
      <c r="J9">
        <v>2</v>
      </c>
      <c r="K9">
        <v>0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0</v>
      </c>
      <c r="S9">
        <v>1</v>
      </c>
      <c r="T9">
        <v>2</v>
      </c>
      <c r="U9">
        <v>1</v>
      </c>
      <c r="V9">
        <v>0</v>
      </c>
      <c r="W9">
        <v>1</v>
      </c>
      <c r="X9">
        <v>2</v>
      </c>
      <c r="Y9">
        <v>2</v>
      </c>
      <c r="Z9">
        <v>0</v>
      </c>
      <c r="AA9">
        <v>1</v>
      </c>
      <c r="AB9">
        <v>2</v>
      </c>
      <c r="AC9">
        <v>0</v>
      </c>
      <c r="AD9">
        <v>1</v>
      </c>
      <c r="AE9">
        <v>4</v>
      </c>
      <c r="AF9">
        <v>0</v>
      </c>
      <c r="AG9">
        <v>4</v>
      </c>
      <c r="AH9">
        <v>1</v>
      </c>
      <c r="AI9">
        <v>0</v>
      </c>
      <c r="AJ9">
        <v>1</v>
      </c>
      <c r="AK9">
        <v>4</v>
      </c>
      <c r="AL9">
        <v>0</v>
      </c>
      <c r="AM9">
        <v>4</v>
      </c>
      <c r="AN9">
        <v>1</v>
      </c>
      <c r="AO9">
        <v>0</v>
      </c>
      <c r="AP9">
        <v>1</v>
      </c>
      <c r="AQ9">
        <v>4</v>
      </c>
      <c r="AR9">
        <v>0</v>
      </c>
      <c r="AS9">
        <v>4</v>
      </c>
      <c r="AT9">
        <v>1</v>
      </c>
      <c r="AU9">
        <v>0</v>
      </c>
      <c r="AV9">
        <v>1</v>
      </c>
      <c r="AW9">
        <v>4</v>
      </c>
      <c r="AX9">
        <v>0</v>
      </c>
      <c r="AY9">
        <v>4</v>
      </c>
      <c r="AZ9">
        <v>1</v>
      </c>
      <c r="BA9">
        <v>0</v>
      </c>
      <c r="BB9">
        <v>0</v>
      </c>
      <c r="BC9">
        <v>2</v>
      </c>
      <c r="BD9">
        <v>0</v>
      </c>
      <c r="BE9">
        <v>1</v>
      </c>
      <c r="BF9">
        <v>1</v>
      </c>
      <c r="BG9">
        <v>2</v>
      </c>
      <c r="BH9">
        <v>0</v>
      </c>
      <c r="BI9">
        <v>1</v>
      </c>
      <c r="BJ9">
        <v>4</v>
      </c>
      <c r="BK9">
        <v>0</v>
      </c>
      <c r="BL9">
        <v>4</v>
      </c>
      <c r="BM9">
        <v>1</v>
      </c>
      <c r="BN9">
        <v>0</v>
      </c>
      <c r="BO9">
        <v>2</v>
      </c>
      <c r="BP9">
        <v>0</v>
      </c>
      <c r="BQ9">
        <v>1</v>
      </c>
      <c r="BR9">
        <v>2</v>
      </c>
      <c r="BS9">
        <v>0</v>
      </c>
      <c r="BT9" s="46">
        <v>3</v>
      </c>
    </row>
    <row r="10" spans="2:72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209"/>
      <c r="H10" s="209"/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1</v>
      </c>
      <c r="AE10">
        <v>2</v>
      </c>
      <c r="AF10">
        <v>1</v>
      </c>
      <c r="AG10">
        <v>0</v>
      </c>
      <c r="AH10">
        <v>0</v>
      </c>
      <c r="AI10">
        <v>0</v>
      </c>
      <c r="AJ10">
        <v>1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1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2</v>
      </c>
      <c r="AX10">
        <v>1</v>
      </c>
      <c r="AY10">
        <v>0</v>
      </c>
      <c r="AZ10">
        <v>0</v>
      </c>
      <c r="BA10">
        <v>0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1</v>
      </c>
      <c r="BQ10">
        <v>0</v>
      </c>
      <c r="BR10">
        <v>0</v>
      </c>
      <c r="BS10">
        <v>0</v>
      </c>
      <c r="BT10" s="46">
        <v>4</v>
      </c>
    </row>
    <row r="11" spans="2:72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209"/>
      <c r="H11" s="209"/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2</v>
      </c>
      <c r="AF11">
        <v>1</v>
      </c>
      <c r="AG11">
        <v>0</v>
      </c>
      <c r="AH11">
        <v>0</v>
      </c>
      <c r="AI11">
        <v>0</v>
      </c>
      <c r="AJ11">
        <v>1</v>
      </c>
      <c r="AK11">
        <v>2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1</v>
      </c>
      <c r="AS11">
        <v>0</v>
      </c>
      <c r="AT11">
        <v>0</v>
      </c>
      <c r="AU11">
        <v>0</v>
      </c>
      <c r="AV11">
        <v>1</v>
      </c>
      <c r="AW11">
        <v>2</v>
      </c>
      <c r="AX11">
        <v>1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1</v>
      </c>
      <c r="BL11">
        <v>0</v>
      </c>
      <c r="BM11">
        <v>0</v>
      </c>
      <c r="BN11">
        <v>0</v>
      </c>
      <c r="BO11">
        <v>1</v>
      </c>
      <c r="BP11">
        <v>1</v>
      </c>
      <c r="BQ11">
        <v>0</v>
      </c>
      <c r="BR11">
        <v>0</v>
      </c>
      <c r="BS11">
        <v>0</v>
      </c>
      <c r="BT11" s="46">
        <v>5</v>
      </c>
    </row>
    <row r="12" spans="2:72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209"/>
      <c r="H12" s="209"/>
      <c r="I12">
        <v>1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2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 s="46">
        <v>6</v>
      </c>
    </row>
    <row r="13" spans="2:72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209"/>
      <c r="H13" s="209"/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 s="46">
        <v>7</v>
      </c>
    </row>
    <row r="14" spans="2:72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209"/>
      <c r="H14" s="209"/>
      <c r="I14">
        <v>0</v>
      </c>
      <c r="J14">
        <v>2</v>
      </c>
      <c r="K14">
        <v>0</v>
      </c>
      <c r="L14">
        <v>1</v>
      </c>
      <c r="M14">
        <v>1</v>
      </c>
      <c r="N14">
        <v>1</v>
      </c>
      <c r="O14">
        <v>1</v>
      </c>
      <c r="P14">
        <v>2</v>
      </c>
      <c r="Q14">
        <v>1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1</v>
      </c>
      <c r="AB14">
        <v>2</v>
      </c>
      <c r="AC14">
        <v>0</v>
      </c>
      <c r="AD14">
        <v>1</v>
      </c>
      <c r="AE14">
        <v>4</v>
      </c>
      <c r="AF14">
        <v>0</v>
      </c>
      <c r="AG14">
        <v>4</v>
      </c>
      <c r="AH14">
        <v>1</v>
      </c>
      <c r="AI14">
        <v>0</v>
      </c>
      <c r="AJ14">
        <v>1</v>
      </c>
      <c r="AK14">
        <v>4</v>
      </c>
      <c r="AL14">
        <v>0</v>
      </c>
      <c r="AM14">
        <v>4</v>
      </c>
      <c r="AN14">
        <v>1</v>
      </c>
      <c r="AO14">
        <v>0</v>
      </c>
      <c r="AP14">
        <v>1</v>
      </c>
      <c r="AQ14">
        <v>4</v>
      </c>
      <c r="AR14">
        <v>0</v>
      </c>
      <c r="AS14">
        <v>4</v>
      </c>
      <c r="AT14">
        <v>1</v>
      </c>
      <c r="AU14">
        <v>0</v>
      </c>
      <c r="AV14">
        <v>1</v>
      </c>
      <c r="AW14">
        <v>4</v>
      </c>
      <c r="AX14">
        <v>0</v>
      </c>
      <c r="AY14">
        <v>4</v>
      </c>
      <c r="AZ14">
        <v>1</v>
      </c>
      <c r="BA14">
        <v>0</v>
      </c>
      <c r="BB14">
        <v>0</v>
      </c>
      <c r="BC14">
        <v>2</v>
      </c>
      <c r="BD14">
        <v>0</v>
      </c>
      <c r="BE14">
        <v>1</v>
      </c>
      <c r="BF14">
        <v>2</v>
      </c>
      <c r="BG14">
        <v>2</v>
      </c>
      <c r="BH14">
        <v>0</v>
      </c>
      <c r="BI14">
        <v>1</v>
      </c>
      <c r="BJ14">
        <v>2</v>
      </c>
      <c r="BK14">
        <v>0</v>
      </c>
      <c r="BL14">
        <v>4</v>
      </c>
      <c r="BM14">
        <v>1</v>
      </c>
      <c r="BN14">
        <v>0</v>
      </c>
      <c r="BO14">
        <v>2</v>
      </c>
      <c r="BP14">
        <v>0</v>
      </c>
      <c r="BQ14">
        <v>1</v>
      </c>
      <c r="BR14">
        <v>2</v>
      </c>
      <c r="BS14">
        <v>0</v>
      </c>
      <c r="BT14" s="46">
        <v>8</v>
      </c>
    </row>
    <row r="15" spans="2:72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209"/>
      <c r="H15" s="209"/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2</v>
      </c>
      <c r="AF15">
        <v>1</v>
      </c>
      <c r="AG15">
        <v>0</v>
      </c>
      <c r="AH15">
        <v>0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2</v>
      </c>
      <c r="AR15">
        <v>1</v>
      </c>
      <c r="AS15">
        <v>0</v>
      </c>
      <c r="AT15">
        <v>0</v>
      </c>
      <c r="AU15">
        <v>0</v>
      </c>
      <c r="AV15">
        <v>1</v>
      </c>
      <c r="AW15">
        <v>2</v>
      </c>
      <c r="AX15">
        <v>1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</v>
      </c>
      <c r="BK15">
        <v>1</v>
      </c>
      <c r="BL15">
        <v>0</v>
      </c>
      <c r="BM15">
        <v>0</v>
      </c>
      <c r="BN15">
        <v>0</v>
      </c>
      <c r="BO15">
        <v>1</v>
      </c>
      <c r="BP15">
        <v>1</v>
      </c>
      <c r="BQ15">
        <v>0</v>
      </c>
      <c r="BR15">
        <v>0</v>
      </c>
      <c r="BS15">
        <v>0</v>
      </c>
      <c r="BT15" s="46">
        <v>9</v>
      </c>
    </row>
    <row r="16" spans="2:72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209"/>
      <c r="H16" s="209"/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2</v>
      </c>
      <c r="AF16">
        <v>1</v>
      </c>
      <c r="AG16">
        <v>0</v>
      </c>
      <c r="AH16">
        <v>0</v>
      </c>
      <c r="AI16">
        <v>0</v>
      </c>
      <c r="AJ16">
        <v>1</v>
      </c>
      <c r="AK16">
        <v>2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2</v>
      </c>
      <c r="AX16">
        <v>1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1</v>
      </c>
      <c r="BL16">
        <v>0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 s="46">
        <v>10</v>
      </c>
    </row>
    <row r="17" spans="2:72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209"/>
      <c r="H17" s="209"/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2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2</v>
      </c>
      <c r="AL17">
        <v>1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2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1</v>
      </c>
      <c r="BL17">
        <v>0</v>
      </c>
      <c r="BM17">
        <v>0</v>
      </c>
      <c r="BN17">
        <v>0</v>
      </c>
      <c r="BO17">
        <v>1</v>
      </c>
      <c r="BP17">
        <v>1</v>
      </c>
      <c r="BQ17">
        <v>0</v>
      </c>
      <c r="BR17">
        <v>0</v>
      </c>
      <c r="BS17">
        <v>0</v>
      </c>
      <c r="BT17" s="46">
        <v>11</v>
      </c>
    </row>
    <row r="18" spans="2:72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209"/>
      <c r="H18" s="209"/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1</v>
      </c>
      <c r="AE18">
        <v>2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2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1</v>
      </c>
      <c r="BC18">
        <v>1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</v>
      </c>
      <c r="BK18">
        <v>1</v>
      </c>
      <c r="BL18">
        <v>0</v>
      </c>
      <c r="BM18">
        <v>0</v>
      </c>
      <c r="BN18">
        <v>0</v>
      </c>
      <c r="BO18">
        <v>1</v>
      </c>
      <c r="BP18">
        <v>1</v>
      </c>
      <c r="BQ18">
        <v>0</v>
      </c>
      <c r="BR18">
        <v>0</v>
      </c>
      <c r="BS18">
        <v>0</v>
      </c>
      <c r="BT18" s="46">
        <v>12</v>
      </c>
    </row>
    <row r="19" spans="2:72" x14ac:dyDescent="0.25">
      <c r="B19" t="str">
        <f>CONCATENATE(Překlady!$C$14,"_",Překlady!$C$15,"_",Překlady!$C$36,"_",Překlady!$C$35)</f>
        <v>rohový_ano_v přerušení_vpravo</v>
      </c>
      <c r="C19" s="27">
        <v>3</v>
      </c>
      <c r="D19" s="27">
        <v>2</v>
      </c>
      <c r="E19" s="27">
        <v>3</v>
      </c>
      <c r="F19" s="27">
        <f>4+G7+H7</f>
        <v>4</v>
      </c>
      <c r="G19" s="209"/>
      <c r="H19" s="209"/>
      <c r="I19">
        <v>0</v>
      </c>
      <c r="J19">
        <v>2</v>
      </c>
      <c r="K19">
        <v>0</v>
      </c>
      <c r="L19">
        <v>1</v>
      </c>
      <c r="M19">
        <v>1</v>
      </c>
      <c r="N19">
        <v>1</v>
      </c>
      <c r="O19">
        <v>1</v>
      </c>
      <c r="P19">
        <v>2</v>
      </c>
      <c r="Q19">
        <v>1</v>
      </c>
      <c r="R19">
        <v>0</v>
      </c>
      <c r="S19">
        <v>1</v>
      </c>
      <c r="T19">
        <v>2</v>
      </c>
      <c r="U19">
        <v>1</v>
      </c>
      <c r="V19">
        <v>0</v>
      </c>
      <c r="W19">
        <v>1</v>
      </c>
      <c r="X19">
        <v>2</v>
      </c>
      <c r="Y19">
        <v>2</v>
      </c>
      <c r="Z19">
        <v>0</v>
      </c>
      <c r="AA19">
        <v>1</v>
      </c>
      <c r="AB19">
        <v>2</v>
      </c>
      <c r="AC19">
        <v>0</v>
      </c>
      <c r="AD19">
        <v>1</v>
      </c>
      <c r="AE19">
        <v>4</v>
      </c>
      <c r="AF19">
        <v>0</v>
      </c>
      <c r="AG19">
        <v>4</v>
      </c>
      <c r="AH19">
        <v>1</v>
      </c>
      <c r="AI19">
        <v>0</v>
      </c>
      <c r="AJ19">
        <v>1</v>
      </c>
      <c r="AK19">
        <v>4</v>
      </c>
      <c r="AL19">
        <v>0</v>
      </c>
      <c r="AM19">
        <v>4</v>
      </c>
      <c r="AN19">
        <v>1</v>
      </c>
      <c r="AO19">
        <v>0</v>
      </c>
      <c r="AP19">
        <v>1</v>
      </c>
      <c r="AQ19">
        <v>4</v>
      </c>
      <c r="AR19">
        <v>0</v>
      </c>
      <c r="AS19">
        <v>4</v>
      </c>
      <c r="AT19">
        <v>1</v>
      </c>
      <c r="AU19">
        <v>0</v>
      </c>
      <c r="AV19">
        <v>1</v>
      </c>
      <c r="AW19">
        <v>4</v>
      </c>
      <c r="AX19">
        <v>0</v>
      </c>
      <c r="AY19">
        <v>4</v>
      </c>
      <c r="AZ19">
        <v>1</v>
      </c>
      <c r="BA19">
        <v>0</v>
      </c>
      <c r="BB19">
        <v>0</v>
      </c>
      <c r="BC19">
        <v>2</v>
      </c>
      <c r="BD19">
        <v>0</v>
      </c>
      <c r="BE19">
        <v>1</v>
      </c>
      <c r="BF19">
        <v>2</v>
      </c>
      <c r="BG19">
        <v>2</v>
      </c>
      <c r="BH19">
        <v>0</v>
      </c>
      <c r="BI19">
        <v>1</v>
      </c>
      <c r="BJ19">
        <v>4</v>
      </c>
      <c r="BK19">
        <v>0</v>
      </c>
      <c r="BL19">
        <v>4</v>
      </c>
      <c r="BM19">
        <v>1</v>
      </c>
      <c r="BN19">
        <v>0</v>
      </c>
      <c r="BO19">
        <v>2</v>
      </c>
      <c r="BP19">
        <v>0</v>
      </c>
      <c r="BQ19">
        <v>1</v>
      </c>
      <c r="BR19">
        <v>2</v>
      </c>
      <c r="BS19">
        <v>0</v>
      </c>
      <c r="BT19" s="46">
        <v>13</v>
      </c>
    </row>
    <row r="20" spans="2:72" x14ac:dyDescent="0.25">
      <c r="B20" t="str">
        <f>CONCATENATE(Překlady!$C$14,"_",Překlady!$C$15,"_",Překlady!$C$36,"_",Překlady!$C$34)</f>
        <v>rohový_ano_v přerušení_vlevo</v>
      </c>
      <c r="C20" s="27">
        <v>3</v>
      </c>
      <c r="D20" s="27">
        <v>2</v>
      </c>
      <c r="E20" s="27">
        <v>3</v>
      </c>
      <c r="F20" s="27">
        <f>4+G7+H7</f>
        <v>4</v>
      </c>
      <c r="G20" s="209"/>
      <c r="H20" s="209"/>
      <c r="I20">
        <v>0</v>
      </c>
      <c r="J20">
        <v>2</v>
      </c>
      <c r="K20">
        <v>0</v>
      </c>
      <c r="L20">
        <v>1</v>
      </c>
      <c r="M20">
        <v>1</v>
      </c>
      <c r="N20">
        <v>1</v>
      </c>
      <c r="O20">
        <v>1</v>
      </c>
      <c r="P20">
        <v>2</v>
      </c>
      <c r="Q20">
        <v>1</v>
      </c>
      <c r="R20">
        <v>0</v>
      </c>
      <c r="S20">
        <v>1</v>
      </c>
      <c r="T20">
        <v>2</v>
      </c>
      <c r="U20">
        <v>1</v>
      </c>
      <c r="V20">
        <v>0</v>
      </c>
      <c r="W20">
        <v>1</v>
      </c>
      <c r="X20">
        <v>2</v>
      </c>
      <c r="Y20">
        <v>2</v>
      </c>
      <c r="Z20">
        <v>0</v>
      </c>
      <c r="AA20">
        <v>1</v>
      </c>
      <c r="AB20">
        <v>2</v>
      </c>
      <c r="AC20">
        <v>0</v>
      </c>
      <c r="AD20">
        <v>1</v>
      </c>
      <c r="AE20">
        <v>4</v>
      </c>
      <c r="AF20">
        <v>0</v>
      </c>
      <c r="AG20">
        <v>4</v>
      </c>
      <c r="AH20">
        <v>1</v>
      </c>
      <c r="AI20">
        <v>0</v>
      </c>
      <c r="AJ20">
        <v>1</v>
      </c>
      <c r="AK20">
        <v>4</v>
      </c>
      <c r="AL20">
        <v>0</v>
      </c>
      <c r="AM20">
        <v>4</v>
      </c>
      <c r="AN20">
        <v>1</v>
      </c>
      <c r="AO20">
        <v>0</v>
      </c>
      <c r="AP20">
        <v>1</v>
      </c>
      <c r="AQ20">
        <v>4</v>
      </c>
      <c r="AR20">
        <v>0</v>
      </c>
      <c r="AS20">
        <v>4</v>
      </c>
      <c r="AT20">
        <v>1</v>
      </c>
      <c r="AU20">
        <v>0</v>
      </c>
      <c r="AV20">
        <v>1</v>
      </c>
      <c r="AW20">
        <v>4</v>
      </c>
      <c r="AX20">
        <v>0</v>
      </c>
      <c r="AY20">
        <v>4</v>
      </c>
      <c r="AZ20">
        <v>1</v>
      </c>
      <c r="BA20">
        <v>0</v>
      </c>
      <c r="BB20">
        <v>0</v>
      </c>
      <c r="BC20">
        <v>2</v>
      </c>
      <c r="BD20">
        <v>0</v>
      </c>
      <c r="BE20">
        <v>1</v>
      </c>
      <c r="BF20">
        <v>2</v>
      </c>
      <c r="BG20">
        <v>2</v>
      </c>
      <c r="BH20">
        <v>0</v>
      </c>
      <c r="BI20">
        <v>1</v>
      </c>
      <c r="BJ20">
        <v>4</v>
      </c>
      <c r="BK20">
        <v>0</v>
      </c>
      <c r="BL20">
        <v>4</v>
      </c>
      <c r="BM20">
        <v>1</v>
      </c>
      <c r="BN20">
        <v>0</v>
      </c>
      <c r="BO20">
        <v>2</v>
      </c>
      <c r="BP20">
        <v>0</v>
      </c>
      <c r="BQ20">
        <v>1</v>
      </c>
      <c r="BR20">
        <v>2</v>
      </c>
      <c r="BS20">
        <v>0</v>
      </c>
      <c r="BT20" s="46">
        <v>14</v>
      </c>
    </row>
    <row r="21" spans="2:72" x14ac:dyDescent="0.25">
      <c r="B21" t="str">
        <f>CONCATENATE(Překlady!$C$14,"_",Překlady!$C$15,"_",Překlady!$C$38,"_",Překlady!$C$35)</f>
        <v>rohový_ano_v rohu_vpravo</v>
      </c>
      <c r="C21" s="27">
        <v>3</v>
      </c>
      <c r="D21" s="27">
        <v>2</v>
      </c>
      <c r="E21" s="27">
        <v>3</v>
      </c>
      <c r="F21" s="27">
        <f>4+G7+H7</f>
        <v>4</v>
      </c>
      <c r="G21" s="209"/>
      <c r="H21" s="209"/>
      <c r="I21">
        <v>0</v>
      </c>
      <c r="J21">
        <v>2</v>
      </c>
      <c r="K21">
        <v>1</v>
      </c>
      <c r="L21">
        <v>1</v>
      </c>
      <c r="M21">
        <v>1</v>
      </c>
      <c r="N21">
        <v>1</v>
      </c>
      <c r="O21">
        <v>2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0</v>
      </c>
      <c r="W21">
        <v>1</v>
      </c>
      <c r="X21">
        <v>2</v>
      </c>
      <c r="Y21">
        <v>2</v>
      </c>
      <c r="Z21">
        <v>1</v>
      </c>
      <c r="AA21">
        <v>1</v>
      </c>
      <c r="AB21">
        <v>2</v>
      </c>
      <c r="AC21">
        <v>1</v>
      </c>
      <c r="AD21">
        <v>1</v>
      </c>
      <c r="AE21">
        <v>4</v>
      </c>
      <c r="AF21">
        <v>1</v>
      </c>
      <c r="AG21">
        <v>4</v>
      </c>
      <c r="AH21">
        <v>1</v>
      </c>
      <c r="AI21">
        <v>1</v>
      </c>
      <c r="AJ21">
        <v>1</v>
      </c>
      <c r="AK21">
        <v>4</v>
      </c>
      <c r="AL21">
        <v>1</v>
      </c>
      <c r="AM21">
        <v>4</v>
      </c>
      <c r="AN21">
        <v>1</v>
      </c>
      <c r="AO21">
        <v>1</v>
      </c>
      <c r="AP21">
        <v>1</v>
      </c>
      <c r="AQ21">
        <v>4</v>
      </c>
      <c r="AR21">
        <v>1</v>
      </c>
      <c r="AS21">
        <v>4</v>
      </c>
      <c r="AT21">
        <v>1</v>
      </c>
      <c r="AU21">
        <v>1</v>
      </c>
      <c r="AV21">
        <v>1</v>
      </c>
      <c r="AW21">
        <v>4</v>
      </c>
      <c r="AX21">
        <v>1</v>
      </c>
      <c r="AY21">
        <v>4</v>
      </c>
      <c r="AZ21">
        <v>1</v>
      </c>
      <c r="BA21">
        <v>1</v>
      </c>
      <c r="BB21">
        <v>0</v>
      </c>
      <c r="BC21">
        <v>2</v>
      </c>
      <c r="BD21">
        <v>1</v>
      </c>
      <c r="BE21">
        <v>1</v>
      </c>
      <c r="BF21">
        <v>2</v>
      </c>
      <c r="BG21">
        <v>2</v>
      </c>
      <c r="BH21">
        <v>1</v>
      </c>
      <c r="BI21">
        <v>1</v>
      </c>
      <c r="BJ21">
        <v>4</v>
      </c>
      <c r="BK21">
        <v>1</v>
      </c>
      <c r="BL21">
        <v>4</v>
      </c>
      <c r="BM21">
        <v>1</v>
      </c>
      <c r="BN21">
        <v>1</v>
      </c>
      <c r="BO21">
        <v>2</v>
      </c>
      <c r="BP21">
        <v>1</v>
      </c>
      <c r="BQ21">
        <v>1</v>
      </c>
      <c r="BR21">
        <v>2</v>
      </c>
      <c r="BS21">
        <v>1</v>
      </c>
      <c r="BT21" s="46">
        <v>15</v>
      </c>
    </row>
    <row r="22" spans="2:72" x14ac:dyDescent="0.25">
      <c r="B22" t="str">
        <f>CONCATENATE(Překlady!$C$14,"_",Překlady!$C$15,"_",Překlady!$C$38,"_",Překlady!$C$34)</f>
        <v>rohový_ano_v rohu_vlevo</v>
      </c>
      <c r="C22" s="27">
        <v>3</v>
      </c>
      <c r="D22" s="27">
        <v>2</v>
      </c>
      <c r="E22" s="27">
        <v>3</v>
      </c>
      <c r="F22" s="27">
        <f>4+G7+H7</f>
        <v>4</v>
      </c>
      <c r="G22" s="209"/>
      <c r="H22" s="209"/>
      <c r="I22">
        <v>0</v>
      </c>
      <c r="J22">
        <v>2</v>
      </c>
      <c r="K22">
        <v>1</v>
      </c>
      <c r="L22">
        <v>1</v>
      </c>
      <c r="M22">
        <v>1</v>
      </c>
      <c r="N22">
        <v>1</v>
      </c>
      <c r="O22">
        <v>2</v>
      </c>
      <c r="P22">
        <v>2</v>
      </c>
      <c r="Q22">
        <v>1</v>
      </c>
      <c r="R22">
        <v>1</v>
      </c>
      <c r="S22">
        <v>1</v>
      </c>
      <c r="T22">
        <v>2</v>
      </c>
      <c r="U22">
        <v>1</v>
      </c>
      <c r="V22">
        <v>0</v>
      </c>
      <c r="W22">
        <v>1</v>
      </c>
      <c r="X22">
        <v>2</v>
      </c>
      <c r="Y22">
        <v>2</v>
      </c>
      <c r="Z22">
        <v>1</v>
      </c>
      <c r="AA22">
        <v>1</v>
      </c>
      <c r="AB22">
        <v>2</v>
      </c>
      <c r="AC22">
        <v>1</v>
      </c>
      <c r="AD22">
        <v>1</v>
      </c>
      <c r="AE22">
        <v>4</v>
      </c>
      <c r="AF22">
        <v>1</v>
      </c>
      <c r="AG22">
        <v>4</v>
      </c>
      <c r="AH22">
        <v>1</v>
      </c>
      <c r="AI22">
        <v>1</v>
      </c>
      <c r="AJ22">
        <v>1</v>
      </c>
      <c r="AK22">
        <v>4</v>
      </c>
      <c r="AL22">
        <v>1</v>
      </c>
      <c r="AM22">
        <v>4</v>
      </c>
      <c r="AN22">
        <v>1</v>
      </c>
      <c r="AO22">
        <v>1</v>
      </c>
      <c r="AP22">
        <v>1</v>
      </c>
      <c r="AQ22">
        <v>4</v>
      </c>
      <c r="AR22">
        <v>1</v>
      </c>
      <c r="AS22">
        <v>4</v>
      </c>
      <c r="AT22">
        <v>1</v>
      </c>
      <c r="AU22">
        <v>1</v>
      </c>
      <c r="AV22">
        <v>1</v>
      </c>
      <c r="AW22">
        <v>4</v>
      </c>
      <c r="AX22">
        <v>1</v>
      </c>
      <c r="AY22">
        <v>4</v>
      </c>
      <c r="AZ22">
        <v>1</v>
      </c>
      <c r="BA22">
        <v>1</v>
      </c>
      <c r="BB22">
        <v>0</v>
      </c>
      <c r="BC22">
        <v>2</v>
      </c>
      <c r="BD22">
        <v>1</v>
      </c>
      <c r="BE22">
        <v>1</v>
      </c>
      <c r="BF22">
        <v>2</v>
      </c>
      <c r="BG22">
        <v>2</v>
      </c>
      <c r="BH22">
        <v>1</v>
      </c>
      <c r="BI22">
        <v>1</v>
      </c>
      <c r="BJ22">
        <v>4</v>
      </c>
      <c r="BK22">
        <v>1</v>
      </c>
      <c r="BL22">
        <v>4</v>
      </c>
      <c r="BM22">
        <v>1</v>
      </c>
      <c r="BN22">
        <v>1</v>
      </c>
      <c r="BO22">
        <v>2</v>
      </c>
      <c r="BP22">
        <v>1</v>
      </c>
      <c r="BQ22">
        <v>1</v>
      </c>
      <c r="BR22">
        <v>2</v>
      </c>
      <c r="BS22">
        <v>1</v>
      </c>
      <c r="BT22" s="46">
        <v>16</v>
      </c>
    </row>
    <row r="23" spans="2:72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IF(Sestava4!$G$110=I5,INDEX(I7:I22,$B$23),0)</f>
        <v>0</v>
      </c>
      <c r="J23" s="46" cm="1">
        <f t="array" ref="J23">IF(Sestava4!$G$110=I5,INDEX(J7:J22,$B$23),0)</f>
        <v>0</v>
      </c>
      <c r="K23" s="46" cm="1">
        <f t="array" ref="K23">IF(Sestava4!$G$110=I5,INDEX(K7:K22,$B$23),0)</f>
        <v>0</v>
      </c>
      <c r="L23" s="46" cm="1">
        <f t="array" ref="L23">IF(Sestava4!$G$110=I5,INDEX(L7:L22,$B$23),0)</f>
        <v>0</v>
      </c>
      <c r="M23" s="46" cm="1">
        <f t="array" ref="M23">IF(AND(Sestava4!$G$110=M5,Sestava4!$W$112=1),INDEX(M7:M22,$B$23),0)</f>
        <v>0</v>
      </c>
      <c r="N23" s="46" cm="1">
        <f t="array" ref="N23">IF(AND(Sestava4!$G$110=M5,Sestava4!$W$112=1),INDEX(N7:N22,$B$23),0)</f>
        <v>0</v>
      </c>
      <c r="O23" s="46" cm="1">
        <f t="array" ref="O23">IF(AND(Sestava4!$G$110=M5,Sestava4!$W$112=1),INDEX(O7:O22,$B$23),0)</f>
        <v>0</v>
      </c>
      <c r="P23" s="46" cm="1">
        <f t="array" ref="P23">IF(AND(Sestava4!$G$110=P5,Sestava4!$W$112=2),INDEX(P7:P22,$B$23),0)</f>
        <v>0</v>
      </c>
      <c r="Q23" s="46" cm="1">
        <f t="array" ref="Q23">IF(AND(Sestava4!$G$110=P5,Sestava4!$W$112=2),INDEX(Q7:Q22,$B$23),0)</f>
        <v>0</v>
      </c>
      <c r="R23" s="46" cm="1">
        <f t="array" ref="R23">IF(AND(Sestava4!$G$110=P5,Sestava4!$W$112=2),INDEX(R7:R22,$B$23),0)</f>
        <v>0</v>
      </c>
      <c r="S23" s="46" cm="1">
        <f t="array" ref="S23">IF(AND(Sestava4!$G$110=$S$5,Sestava4!$W$112=1),INDEX(S7:S22,$B$23),0)</f>
        <v>0</v>
      </c>
      <c r="T23" s="46" cm="1">
        <f t="array" ref="T23">IF(AND(Sestava4!$G$110=$S$5,Sestava4!$W$112=1),INDEX(T7:T22,$B$23),0)</f>
        <v>0</v>
      </c>
      <c r="U23" s="46" cm="1">
        <f t="array" ref="U23">IF(AND(Sestava4!$G$110=$S$5,Sestava4!$W$112=1),INDEX(U7:U22,$B$23),0)</f>
        <v>0</v>
      </c>
      <c r="V23" s="46" cm="1">
        <f t="array" ref="V23">IF(AND(Sestava4!$G$110=$S$5,Sestava4!$W$112=1),INDEX(V7:V22,$B$23),0)</f>
        <v>0</v>
      </c>
      <c r="W23" s="46" cm="1">
        <f t="array" ref="W23">IF(AND(Sestava4!$G$110=$W$5,Sestava4!$W$112=2),INDEX(W7:W22,$B$23),0)</f>
        <v>0</v>
      </c>
      <c r="X23" s="46" cm="1">
        <f t="array" ref="X23">IF(AND(Sestava4!$G$110=$W$5,Sestava4!$W$112=2),INDEX(X7:X22,$B$23),0)</f>
        <v>0</v>
      </c>
      <c r="Y23" s="46" cm="1">
        <f t="array" ref="Y23">IF(AND(Sestava4!$G$114=Y2,Sestava4!$W$114=Překlady!C97),INDEX(Y7:Y22,$B$23),0)</f>
        <v>0</v>
      </c>
      <c r="Z23" s="46" cm="1">
        <f t="array" ref="Z23">IF(AND(Sestava4!$G$114=Y2,Sestava4!$W$114=Překlady!C97),INDEX(Z7:Z22,$B$23),0)</f>
        <v>0</v>
      </c>
      <c r="AA23" s="46" cm="1">
        <f t="array" ref="AA23">IF(AND(Sestava4!$G$114=$AA$2,Sestava4!$W$114=Překlady!C98),INDEX(AA7:AA22,$B$23),0)</f>
        <v>0</v>
      </c>
      <c r="AB23" s="46" cm="1">
        <f t="array" ref="AB23">IF(AND(Sestava4!$G$114=$AA$2,Sestava4!$W$114=Překlady!C98),INDEX(AB7:AB22,$B$23),0)</f>
        <v>0</v>
      </c>
      <c r="AC23" s="46" cm="1">
        <f t="array" ref="AC23">IF(AND(Sestava4!$G$114=$AA$2,Sestava4!$W$114=Překlady!C98),INDEX(AC7:AC22,$B$23),0)</f>
        <v>0</v>
      </c>
      <c r="AD23" s="46" cm="1">
        <f t="array" ref="AD23">IF(AND(Sestava4!$G$114=$AD$2,Sestava4!$W$114=Překlady!C97),INDEX(AD7:AD22,$B$23),0)</f>
        <v>0</v>
      </c>
      <c r="AE23" s="46" cm="1">
        <f t="array" ref="AE23">IF(AND(Sestava4!$G$114=$AD$2,Sestava4!$W$114=Překlady!C97),INDEX(AE7:AE22,$B$23),0)</f>
        <v>0</v>
      </c>
      <c r="AF23" s="46" cm="1">
        <f t="array" ref="AF23">IF(AND(Sestava4!$G$114=$AD$2,Sestava4!$W$114=Překlady!C97),INDEX(AF7:AF22,$B$23),0)</f>
        <v>0</v>
      </c>
      <c r="AG23" s="46" t="e" cm="1">
        <f t="array" ref="AG23">IF(AND(Sestava4!$G$114=$AG$2,Sestava4!$W$114=Překlady!C98),INDEX(AG7:AG22,$B$23),0)</f>
        <v>#REF!</v>
      </c>
      <c r="AH23" s="46" t="e" cm="1">
        <f t="array" ref="AH23">IF(AND(Sestava4!$G$114=$AG$2,Sestava4!$W$114=Překlady!C98),INDEX(AH7:AH22,$B$23),0)</f>
        <v>#REF!</v>
      </c>
      <c r="AI23" s="46" t="e" cm="1">
        <f t="array" ref="AI23">IF(AND(Sestava4!$G$114=$AG$2,Sestava4!$W$114=Překlady!C98),INDEX(AI7:AI22,$B$23),0)</f>
        <v>#REF!</v>
      </c>
      <c r="AJ23" s="46" cm="1">
        <f t="array" ref="AJ23">IF(AND(Sestava4!$G$112=$AJ$2,Sestava4!$W$112=1),INDEX(AJ7:AJ22,$B$23),0)</f>
        <v>0</v>
      </c>
      <c r="AK23" s="46" cm="1">
        <f t="array" ref="AK23">IF(AND(Sestava4!$G$112=$AJ$2,Sestava4!$W$112=1),INDEX(AK7:AK22,$B$23),0)</f>
        <v>0</v>
      </c>
      <c r="AL23" s="46" cm="1">
        <f t="array" ref="AL23">IF(AND(Sestava4!$G$112=$AJ$2,Sestava4!$W$112=1),INDEX(AL7:AL22,$B$23),0)</f>
        <v>0</v>
      </c>
      <c r="AM23" s="46" cm="1">
        <f t="array" ref="AM23">IF(AND(Sestava4!$G$112=$AM$2,Sestava4!$W$112=2),INDEX(AM7:AM22,$B$23),0)</f>
        <v>0</v>
      </c>
      <c r="AN23" s="46" cm="1">
        <f t="array" ref="AN23">IF(AND(Sestava4!$G$112=$AM$2,Sestava4!$W$112=2),INDEX(AN7:AN22,$B$23),0)</f>
        <v>0</v>
      </c>
      <c r="AO23" s="46" cm="1">
        <f t="array" ref="AO23">IF(AND(Sestava4!$G$112=$AM$2,Sestava4!$W$112=2),INDEX(AO7:AO22,$B$23),0)</f>
        <v>0</v>
      </c>
      <c r="AP23" s="46" cm="1">
        <f t="array" ref="AP23">IF(AND(Sestava4!$G$112=$AP$2,Sestava4!$W$112=1),INDEX(AP7:AP22,$B$23),0)</f>
        <v>0</v>
      </c>
      <c r="AQ23" s="46" cm="1">
        <f t="array" ref="AQ23">IF(AND(Sestava4!$G$112=$AP$2,Sestava4!$W$112=1),INDEX(AQ7:AQ22,$B$23),0)</f>
        <v>0</v>
      </c>
      <c r="AR23" s="46" cm="1">
        <f t="array" ref="AR23">IF(AND(Sestava4!$G$112=$AP$2,Sestava4!$W$112=1),INDEX(AR7:AR22,$B$23),0)</f>
        <v>0</v>
      </c>
      <c r="AS23" s="46" cm="1">
        <f t="array" ref="AS23">IF(AND(Sestava4!$G$112=$AS$2,Sestava4!$W$112=2),INDEX(AS7:AS22,$B$23),0)</f>
        <v>0</v>
      </c>
      <c r="AT23" s="46" cm="1">
        <f t="array" ref="AT23">IF(AND(Sestava4!$G$112=$AS$2,Sestava4!$W$112=2),INDEX(AT7:AT22,$B$23),0)</f>
        <v>0</v>
      </c>
      <c r="AU23" s="46" cm="1">
        <f t="array" ref="AU23">IF(AND(Sestava4!$G$112=$AS$2,Sestava4!$W$112=2),INDEX(AU7:AU22,$B$23),0)</f>
        <v>0</v>
      </c>
      <c r="AV23" s="46" cm="1">
        <f t="array" ref="AV23">IF(AND(Sestava4!$G$112=$AV$2,Sestava4!$W$112=1),INDEX(AV7:AV22,$B$23),0)</f>
        <v>0</v>
      </c>
      <c r="AW23" s="46" cm="1">
        <f t="array" ref="AW23">IF(AND(Sestava4!$G$112=$AV$2,Sestava4!$W$112=1),INDEX(AW7:AW22,$B$23),0)</f>
        <v>0</v>
      </c>
      <c r="AX23" s="46" cm="1">
        <f t="array" ref="AX23">IF(AND(Sestava4!$G$112=$AV$2,Sestava4!$W$112=1),INDEX(AX7:AX22,$B$23),0)</f>
        <v>0</v>
      </c>
      <c r="AY23" s="46" t="e" cm="1">
        <f t="array" ref="AY23">IF(AND(Sestava4!$G$112=$AY$2,Sestava4!$W$112=2),INDEX(AY7:AY22,$B$23),0)</f>
        <v>#REF!</v>
      </c>
      <c r="AZ23" s="46" t="e" cm="1">
        <f t="array" ref="AZ23">IF(AND(Sestava4!$G$112=$AY$2,Sestava4!$W$112=2),INDEX(AZ7:AZ22,$B$23),0)</f>
        <v>#REF!</v>
      </c>
      <c r="BA23" s="46" t="e" cm="1">
        <f t="array" ref="BA23">IF(AND(Sestava4!$G$112=$AY$2,Sestava4!$W$112=2),INDEX(BA7:BA22,$B$23),0)</f>
        <v>#REF!</v>
      </c>
      <c r="BB23" s="46" cm="1">
        <f t="array" ref="BB23">IF(AND(Sestava4!$G$112=$BB$2,Sestava4!$W$112=1),INDEX(BB7:BB22,$B$23),0)</f>
        <v>0</v>
      </c>
      <c r="BC23" s="46" cm="1">
        <f t="array" ref="BC23">IF(AND(Sestava4!$G$112=$BB$2,Sestava4!$W$112=1),INDEX(BC7:BC22,$B$23),0)</f>
        <v>0</v>
      </c>
      <c r="BD23" s="46" cm="1">
        <f t="array" ref="BD23">IF(AND(Sestava4!$G$112=$BB$2,Sestava4!$W$112=1),INDEX(BD7:BD22,$B$23),0)</f>
        <v>0</v>
      </c>
      <c r="BE23" s="46" cm="1">
        <f t="array" ref="BE23">IF(AND(Sestava4!$G$112=$BB$2,Sestava4!$W$112=1),INDEX(BE7:BE22,$B$23),0)</f>
        <v>0</v>
      </c>
      <c r="BF23" s="46" cm="1">
        <f t="array" ref="BF23">IF(AND(Sestava4!$G$112=$BF$2,Sestava4!$W$112=2),INDEX(BF7:BF22,$B$23),0)</f>
        <v>0</v>
      </c>
      <c r="BG23" s="46" cm="1">
        <f t="array" ref="BG23">IF(AND(Sestava4!$G$112=$BF$2,Sestava4!$W$112=2),INDEX(BG7:BG22,$B$23),0)</f>
        <v>0</v>
      </c>
      <c r="BH23" s="46" cm="1">
        <f t="array" ref="BH23">IF(AND(Sestava4!$G$112=$BF$2,Sestava4!$W$112=2),INDEX(BH7:BH22,$B$23),0)</f>
        <v>0</v>
      </c>
      <c r="BI23" s="46" cm="1">
        <f t="array" ref="BI23">IF(AND(Sestava4!$G$112=$BF$2,Sestava4!$W$112=2),INDEX(BI7:BI22,$B$23),0)</f>
        <v>0</v>
      </c>
      <c r="BJ23" s="46" cm="1">
        <f t="array" ref="BJ23">IF(AND(Sestava4!$G$112=$BJ$2,Sestava4!$W$112=1),INDEX(BJ7:BJ22,$B$23),0)</f>
        <v>0</v>
      </c>
      <c r="BK23" s="46" cm="1">
        <f t="array" ref="BK23">IF(AND(Sestava4!$G$112=$BJ$2,Sestava4!$W$112=1),INDEX(BK7:BK22,$B$23),0)</f>
        <v>0</v>
      </c>
      <c r="BL23" s="46" cm="1">
        <f t="array" ref="BL23">IF(AND(Sestava4!$G$112=$BL$2,Sestava4!$W$112=2),INDEX(BL7:BL22,$B$23),0)</f>
        <v>0</v>
      </c>
      <c r="BM23" s="46" cm="1">
        <f t="array" ref="BM23">IF(AND(Sestava4!$G$112=$BL$2,Sestava4!$W$112=2),INDEX(BM7:BM22,$B$23),0)</f>
        <v>0</v>
      </c>
      <c r="BN23" s="46" cm="1">
        <f t="array" ref="BN23">IF(AND(Sestava4!$G$112=$BL$2,Sestava4!$W$112=2),INDEX(BN7:BN22,$B$23),0)</f>
        <v>0</v>
      </c>
      <c r="BO23" s="46" cm="1">
        <f t="array" ref="BO23">IF(AND(Sestava4!$G$112=$BO$2,Sestava4!$W$112=1),INDEX(BO7:BO22,$B$23),0)</f>
        <v>0</v>
      </c>
      <c r="BP23" s="46" cm="1">
        <f t="array" ref="BP23">IF(AND(Sestava4!$G$112=$BO$2,Sestava4!$W$112=1),INDEX(BP7:BP22,$B$23),0)</f>
        <v>0</v>
      </c>
      <c r="BQ23" s="46" cm="1">
        <f t="array" ref="BQ23">IF(AND(Sestava4!$G$112=$BQ$2,Sestava4!$W$112=2),INDEX(BQ7:BQ22,$B$23),0)</f>
        <v>0</v>
      </c>
      <c r="BR23" s="46" cm="1">
        <f t="array" ref="BR23">IF(AND(Sestava4!$G$112=$BQ$2,Sestava4!$W$112=2),INDEX(BR7:BR22,$B$23),0)</f>
        <v>0</v>
      </c>
      <c r="BS23" s="46" cm="1">
        <f t="array" ref="BS23">IF(AND(Sestava4!$G$112=$BQ$2,Sestava4!$W$112=2),INDEX(BS7:BS22,$B$23),0)</f>
        <v>0</v>
      </c>
    </row>
    <row r="25" spans="2:72" x14ac:dyDescent="0.25">
      <c r="C25" s="27">
        <v>1</v>
      </c>
      <c r="D25" s="27" t="s">
        <v>5827</v>
      </c>
    </row>
    <row r="26" spans="2:72" x14ac:dyDescent="0.25">
      <c r="C26" s="27">
        <v>3</v>
      </c>
      <c r="D26" s="27" t="s">
        <v>5828</v>
      </c>
    </row>
    <row r="27" spans="2:72" x14ac:dyDescent="0.25">
      <c r="C27" s="27">
        <v>2</v>
      </c>
      <c r="D27" s="27" t="s">
        <v>5829</v>
      </c>
    </row>
    <row r="29" spans="2:72" x14ac:dyDescent="0.25">
      <c r="C29">
        <f>COUNTIF($I$23:$BS$23,"&gt;0")</f>
        <v>0</v>
      </c>
    </row>
    <row r="30" spans="2:72" x14ac:dyDescent="0.25">
      <c r="E30" t="str">
        <f>IF($C$29&gt;0,HLOOKUP(1,$I$1:$BS$6,6,0),"")</f>
        <v/>
      </c>
      <c r="F30" t="str">
        <f>IF($C$29&gt;0,HLOOKUP(1,$I$1:$BS$22,6+$B$23,0),"")</f>
        <v/>
      </c>
    </row>
    <row r="31" spans="2:72" x14ac:dyDescent="0.25">
      <c r="E31" t="str">
        <f>IF($C$29&gt;1,HLOOKUP(2,$I$1:$BS$6,6,0),"")</f>
        <v/>
      </c>
      <c r="F31" t="str">
        <f>IF($C$29&gt;1,HLOOKUP(2,$I$1:$BS$22,6+$B$23,0),"")</f>
        <v/>
      </c>
    </row>
    <row r="32" spans="2:72" x14ac:dyDescent="0.25">
      <c r="E32" t="str">
        <f>IF($C$29&gt;2,HLOOKUP(3,$G$1:$BS$6,6,0),"")</f>
        <v/>
      </c>
      <c r="F32" t="str">
        <f>IF($C$29&gt;2,HLOOKUP(3,$G$1:$BS$22,6+$B$23,0),"")</f>
        <v/>
      </c>
    </row>
    <row r="33" spans="1:6" x14ac:dyDescent="0.25">
      <c r="E33" t="str">
        <f>IF($C$29&gt;3,HLOOKUP(4,$G$1:$BS$6,6,0),"")</f>
        <v/>
      </c>
      <c r="F33" t="str">
        <f>IF($C$29&gt;3,HLOOKUP(4,$G$1:$BS$22,6+$B$23,0),"")</f>
        <v/>
      </c>
    </row>
    <row r="36" spans="1:6" x14ac:dyDescent="0.25">
      <c r="D36" t="s">
        <v>5784</v>
      </c>
      <c r="E36" t="s">
        <v>5785</v>
      </c>
    </row>
    <row r="37" spans="1:6" x14ac:dyDescent="0.25">
      <c r="A37" t="e">
        <f>CONCATENATE(Překlady!$C$85,"_",F37,)</f>
        <v>#N/A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 t="e">
        <f>IF(D37&gt;=Sestava4!$AM$120,1,0)</f>
        <v>#N/A</v>
      </c>
    </row>
    <row r="38" spans="1:6" x14ac:dyDescent="0.25">
      <c r="A38" t="e">
        <f>CONCATENATE(Překlady!$C$85,"_",F38,)</f>
        <v>#N/A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 t="e">
        <f>IF(D38&gt;=Sestava4!$AM$120,1+F37,0)</f>
        <v>#N/A</v>
      </c>
    </row>
    <row r="39" spans="1:6" x14ac:dyDescent="0.25">
      <c r="A39" t="e">
        <f>CONCATENATE(Překlady!$C$85,"_",F39,)</f>
        <v>#N/A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 t="e">
        <f>IF(D39&gt;=Sestava4!$AM$120,1+MAX($F$37:F38),0)</f>
        <v>#N/A</v>
      </c>
    </row>
    <row r="40" spans="1:6" x14ac:dyDescent="0.25">
      <c r="A40" t="e">
        <f>CONCATENATE(Překlady!$C$85,"_",F40,)</f>
        <v>#N/A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 t="e">
        <f>IF(D40&gt;=Sestava4!$AM$120,1+MAX($F$37:F39),0)</f>
        <v>#N/A</v>
      </c>
    </row>
    <row r="41" spans="1:6" x14ac:dyDescent="0.25">
      <c r="A41" t="e">
        <f>CONCATENATE(Překlady!$C$85,"_",F41,)</f>
        <v>#N/A</v>
      </c>
      <c r="B41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 t="e">
        <f>IF(D41&gt;=Sestava4!$AM$120,1+MAX($F$37:F40),0)</f>
        <v>#N/A</v>
      </c>
    </row>
    <row r="42" spans="1:6" x14ac:dyDescent="0.25">
      <c r="A42" t="e">
        <f>CONCATENATE(Překlady!$C$85,"_",F42,)</f>
        <v>#N/A</v>
      </c>
      <c r="B42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 t="e">
        <f>IF(D42&gt;=Sestava4!$AM$120,1+MAX($F$37:F41),0)</f>
        <v>#N/A</v>
      </c>
    </row>
    <row r="43" spans="1:6" x14ac:dyDescent="0.25">
      <c r="A43" t="e">
        <f>CONCATENATE(Překlady!$C$85,"_",F43,)</f>
        <v>#N/A</v>
      </c>
      <c r="B43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 t="e">
        <f>IF(D43&gt;=Sestava4!$AM$120,1+MAX($F$37:F42),0)</f>
        <v>#N/A</v>
      </c>
    </row>
    <row r="46" spans="1:6" x14ac:dyDescent="0.25">
      <c r="A46" t="e">
        <f>CONCATENATE(Překlady!$C$86,"_",F46)</f>
        <v>#N/A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 t="e">
        <f>IF(D46&gt;=Sestava4!$AM$120,1,0)</f>
        <v>#N/A</v>
      </c>
    </row>
    <row r="47" spans="1:6" x14ac:dyDescent="0.25">
      <c r="A47" t="e">
        <f>CONCATENATE(Překlady!$C$86,"_",F47)</f>
        <v>#N/A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 t="e">
        <f>IF(D47&gt;=Sestava4!$AM$120,1+F46,0)</f>
        <v>#N/A</v>
      </c>
    </row>
    <row r="48" spans="1:6" x14ac:dyDescent="0.25">
      <c r="A48" t="e">
        <f>CONCATENATE(Překlady!$C$86,"_",F48)</f>
        <v>#N/A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 t="e">
        <f>IF(D48&gt;=Sestava4!$AM$120,1+MAX($F$46:F47),0)</f>
        <v>#N/A</v>
      </c>
    </row>
    <row r="49" spans="1:6" x14ac:dyDescent="0.25">
      <c r="A49" t="e">
        <f>CONCATENATE(Překlady!$C$86,"_",F49)</f>
        <v>#N/A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 t="e">
        <f>IF(D49&gt;=Sestava4!$AM$120,1+MAX($F$46:F48),0)</f>
        <v>#N/A</v>
      </c>
    </row>
    <row r="50" spans="1:6" x14ac:dyDescent="0.25">
      <c r="A50" t="e">
        <f>CONCATENATE(Překlady!$C$86,"_",F50)</f>
        <v>#N/A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 t="e">
        <f>IF(D50&gt;=Sestava4!$AM$120,1+MAX($F$46:F49),0)</f>
        <v>#N/A</v>
      </c>
    </row>
    <row r="51" spans="1:6" x14ac:dyDescent="0.25">
      <c r="A51" t="e">
        <f>CONCATENATE(Překlady!$C$86,"_",F51)</f>
        <v>#N/A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 t="e">
        <f>IF(D51&gt;=Sestava4!$AM$120,1+MAX($F$46:F50),0)</f>
        <v>#N/A</v>
      </c>
    </row>
    <row r="52" spans="1:6" x14ac:dyDescent="0.25">
      <c r="A52" t="e">
        <f>CONCATENATE(Překlady!$C$86,"_",F52)</f>
        <v>#N/A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 t="e">
        <f>IF(D52&gt;=Sestava4!$AM$120,1+MAX($F$46:F51),0)</f>
        <v>#N/A</v>
      </c>
    </row>
    <row r="53" spans="1:6" x14ac:dyDescent="0.25">
      <c r="A53" t="e">
        <f>CONCATENATE(Překlady!$C$86,"_",F53)</f>
        <v>#N/A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 t="e">
        <f>IF(D53&gt;=Sestava4!$AM$120,1+MAX($F$46:F52),0)</f>
        <v>#N/A</v>
      </c>
    </row>
    <row r="54" spans="1:6" x14ac:dyDescent="0.25">
      <c r="A54" t="e">
        <f>CONCATENATE(Překlady!$C$86,"_",F54)</f>
        <v>#N/A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 t="e">
        <f>IF(D54&gt;=Sestava4!$AM$120,1+MAX($F$46:F53),0)</f>
        <v>#N/A</v>
      </c>
    </row>
    <row r="55" spans="1:6" x14ac:dyDescent="0.25">
      <c r="A55" t="e">
        <f>CONCATENATE(Překlady!$C$86,"_",F55)</f>
        <v>#N/A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 t="e">
        <f>IF(D55&gt;=Sestava4!$AM$120,1+MAX($F$46:F54),0)</f>
        <v>#N/A</v>
      </c>
    </row>
    <row r="57" spans="1:6" x14ac:dyDescent="0.25">
      <c r="C57" s="70" t="s">
        <v>5784</v>
      </c>
      <c r="D57" s="70" t="s">
        <v>5785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IF(Produkty!$B$214=Sestava4!$G$114,Produkty!$E$214,IF(Produkty!$B$215=Sestava4!$G$114,Produkty!$E$215,IF(Produkty!$B$216=Sestava4!$G$114,Produkty!$E$216,0)))</f>
        <v>0</v>
      </c>
      <c r="D78" s="30">
        <f>IF(Produkty!$B$214=Sestava4!$G$114,Produkty!$F$214,IF(Produkty!$B$215=Sestava4!$G$114,Produkty!$F$215,IF(Produkty!$B$216=Sestava4!$G$114,Produkty!$F$216,0)))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IF(Produkty!$B$214=Sestava4!$G$114,Produkty!$E$214,IF(Produkty!$B$215=Sestava4!$G$114,Produkty!$E$215,IF(Produkty!$B$216=Sestava4!$G$114,Produkty!$E$216,0)))</f>
        <v>0</v>
      </c>
      <c r="D79" s="30">
        <f>IF(Produkty!$B$214=Sestava4!$G$114,Produkty!$F$214,IF(Produkty!$B$215=Sestava4!$G$114,Produkty!$F$215,IF(Produkty!$B$216=Sestava4!$G$114,Produkty!$F$216,0)))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IF(Produkty!$B$214=Sestava4!$G$114,Produkty!$E$214,IF(Produkty!$B$215=Sestava4!$G$114,Produkty!$E$215,IF(Produkty!$B$216=Sestava4!$G$114,Produkty!$E$216,0)))</f>
        <v>0</v>
      </c>
      <c r="D80" s="30">
        <f>IF(Produkty!$B$214=Sestava4!$G$114,Produkty!$F$214,IF(Produkty!$B$215=Sestava4!$G$114,Produkty!$F$215,IF(Produkty!$B$216=Sestava4!$G$114,Produkty!$F$216,0)))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IF(Produkty!$B$214=Sestava4!$G$114,Produkty!$E$214,IF(Produkty!$B$215=Sestava4!$G$114,Produkty!$E$215,IF(Produkty!$B$216=Sestava4!$G$114,Produkty!$E$216,0)))</f>
        <v>0</v>
      </c>
      <c r="D81" s="30">
        <f>IF(Produkty!$B$214=Sestava4!$G$114,Produkty!$F$214,IF(Produkty!$B$215=Sestava4!$G$114,Produkty!$F$215,IF(Produkty!$B$216=Sestava4!$G$114,Produkty!$F$216,0)))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IF(Produkty!$B$214=Sestava4!$G$114,Produkty!$E$214,IF(Produkty!$B$215=Sestava4!$G$114,Produkty!$E$215,IF(Produkty!$B$216=Sestava4!$G$114,Produkty!$E$216,0)))</f>
        <v>0</v>
      </c>
      <c r="D82" s="30">
        <f>IF(Produkty!$B$214=Sestava4!$G$114,Produkty!$F$214,IF(Produkty!$B$215=Sestava4!$G$114,Produkty!$F$215,IF(Produkty!$B$216=Sestava4!$G$114,Produkty!$F$216,0)))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IF(Produkty!$B$214=Sestava4!$G$114,Produkty!$E$214,IF(Produkty!$B$215=Sestava4!$G$114,Produkty!$E$215,IF(Produkty!$B$216=Sestava4!$G$114,Produkty!$E$216,0)))</f>
        <v>0</v>
      </c>
      <c r="D83" s="30">
        <f>IF(Produkty!$B$214=Sestava4!$G$114,Produkty!$F$214,IF(Produkty!$B$215=Sestava4!$G$114,Produkty!$F$215,IF(Produkty!$B$216=Sestava4!$G$114,Produkty!$F$216,0)))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IF(Produkty!$B$214=Sestava4!$G$114,Produkty!$E$214,IF(Produkty!$B$215=Sestava4!$G$114,Produkty!$E$215,IF(Produkty!$B$216=Sestava4!$G$114,Produkty!$E$216,0)))</f>
        <v>0</v>
      </c>
      <c r="D84" s="30">
        <f>IF(Produkty!$B$214=Sestava4!$G$114,Produkty!$F$214,IF(Produkty!$B$215=Sestava4!$G$114,Produkty!$F$215,IF(Produkty!$B$216=Sestava4!$G$114,Produkty!$F$216,0)))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IF(Produkty!$B$214=Sestava4!$G$114,Produkty!$E$214,IF(Produkty!$B$215=Sestava4!$G$114,Produkty!$E$215,IF(Produkty!$B$216=Sestava4!$G$114,Produkty!$E$216,0)))</f>
        <v>0</v>
      </c>
      <c r="D85" s="30">
        <f>IF(Produkty!$B$214=Sestava4!$G$114,Produkty!$F$214,IF(Produkty!$B$215=Sestava4!$G$114,Produkty!$F$215,IF(Produkty!$B$216=Sestava4!$G$114,Produkty!$F$216,0)))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IF(Produkty!$B$214=Sestava4!$G$114,Produkty!$E$214,IF(Produkty!$B$215=Sestava4!$G$114,Produkty!$E$215,IF(Produkty!$B$216=Sestava4!$G$114,Produkty!$E$216,0)))</f>
        <v>0</v>
      </c>
      <c r="D86" s="30">
        <f>IF(Produkty!$B$214=Sestava4!$G$114,Produkty!$F$214,IF(Produkty!$B$215=Sestava4!$G$114,Produkty!$F$215,IF(Produkty!$B$216=Sestava4!$G$114,Produkty!$F$216,0)))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IF(Produkty!$B$214=Sestava4!$G$114,Produkty!$E$214,IF(Produkty!$B$215=Sestava4!$G$114,Produkty!$E$215,IF(Produkty!$B$216=Sestava4!$G$114,Produkty!$E$216,0)))</f>
        <v>0</v>
      </c>
      <c r="D87" s="30">
        <f>IF(Produkty!$B$214=Sestava4!$G$114,Produkty!$F$214,IF(Produkty!$B$215=Sestava4!$G$114,Produkty!$F$215,IF(Produkty!$B$216=Sestava4!$G$114,Produkty!$F$216,0)))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IF(Produkty!$B$214=Sestava4!$G$114,Produkty!$E$214,IF(Produkty!$B$215=Sestava4!$G$114,Produkty!$E$215,IF(Produkty!$B$216=Sestava4!$G$114,Produkty!$E$216,0)))</f>
        <v>0</v>
      </c>
      <c r="D88" s="30">
        <f>IF(Produkty!$B$214=Sestava4!$G$114,Produkty!$F$214,IF(Produkty!$B$215=Sestava4!$G$114,Produkty!$F$215,IF(Produkty!$B$216=Sestava4!$G$114,Produkty!$F$216,0)))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IF(Produkty!$B$214=Sestava4!$G$114,Produkty!$E$214,IF(Produkty!$B$215=Sestava4!$G$114,Produkty!$E$215,IF(Produkty!$B$216=Sestava4!$G$114,Produkty!$E$216,0)))</f>
        <v>0</v>
      </c>
      <c r="D89" s="30">
        <f>IF(Produkty!$B$214=Sestava4!$G$114,Produkty!$F$214,IF(Produkty!$B$215=Sestava4!$G$114,Produkty!$F$215,IF(Produkty!$B$216=Sestava4!$G$114,Produkty!$F$216,0)))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IF(Produkty!$B$214=Sestava4!$G$114,Produkty!$E$214,IF(Produkty!$B$215=Sestava4!$G$114,Produkty!$E$215,IF(Produkty!$B$216=Sestava4!$G$114,Produkty!$E$216,0)))</f>
        <v>0</v>
      </c>
      <c r="D90" s="30">
        <f>IF(Produkty!$B$214=Sestava4!$G$114,Produkty!$F$214,IF(Produkty!$B$215=Sestava4!$G$114,Produkty!$F$215,IF(Produkty!$B$216=Sestava4!$G$114,Produkty!$F$216,0)))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IF(Produkty!$B$214=Sestava4!$G$114,Produkty!$E$214,IF(Produkty!$B$215=Sestava4!$G$114,Produkty!$E$215,IF(Produkty!$B$216=Sestava4!$G$114,Produkty!$E$216,0)))</f>
        <v>0</v>
      </c>
      <c r="D91" s="30">
        <f>IF(Produkty!$B$214=Sestava4!$G$114,Produkty!$F$214,IF(Produkty!$B$215=Sestava4!$G$114,Produkty!$F$215,IF(Produkty!$B$216=Sestava4!$G$114,Produkty!$F$216,0)))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IF(Produkty!$B$214=Sestava4!$G$114,Produkty!$E$214,IF(Produkty!$B$215=Sestava4!$G$114,Produkty!$E$215,IF(Produkty!$B$216=Sestava4!$G$114,Produkty!$E$216,0)))</f>
        <v>0</v>
      </c>
      <c r="D92" s="30">
        <f>IF(Produkty!$B$214=Sestava4!$G$114,Produkty!$F$214,IF(Produkty!$B$215=Sestava4!$G$114,Produkty!$F$215,IF(Produkty!$B$216=Sestava4!$G$114,Produkty!$F$216,0)))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IF(Produkty!B228=Sestava4!G114,Produkty!E228,IF(Produkty!B229=Sestava4!G114,Produkty!E229,0))</f>
        <v>0</v>
      </c>
      <c r="D98" s="30">
        <f>IF(Produkty!B228=Sestava4!G114,Produkty!F228,IF(Produkty!B229=Sestava4!G114,Produkty!F229,0))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IF(Produkty!B228=Sestava4!G114,Produkty!E228,IF(Produkty!B229=Sestava4!G114,Produkty!E229,0))</f>
        <v>0</v>
      </c>
      <c r="D99" s="30">
        <f>IF(Produkty!B228=Sestava4!G114,Produkty!F228,IF(Produkty!B229=Sestava4!G114,Produkty!F229,0))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1">
    <mergeCell ref="AL2:AL5"/>
    <mergeCell ref="AM2:AN5"/>
    <mergeCell ref="AO2:AO5"/>
    <mergeCell ref="Y2:Y5"/>
    <mergeCell ref="Z2:Z5"/>
    <mergeCell ref="AA2:AB5"/>
    <mergeCell ref="AC2:AC5"/>
    <mergeCell ref="AD2:AE5"/>
    <mergeCell ref="AF2:AF5"/>
    <mergeCell ref="C5:D5"/>
    <mergeCell ref="I5:L5"/>
    <mergeCell ref="N5:O5"/>
    <mergeCell ref="T5:V5"/>
    <mergeCell ref="BJ2:BJ5"/>
    <mergeCell ref="AY2:AZ5"/>
    <mergeCell ref="BA2:BA5"/>
    <mergeCell ref="BB2:BC5"/>
    <mergeCell ref="BD2:BE5"/>
    <mergeCell ref="BF2:BG5"/>
    <mergeCell ref="BH2:BI5"/>
    <mergeCell ref="AP2:AQ5"/>
    <mergeCell ref="AR2:AR5"/>
    <mergeCell ref="AS2:AT5"/>
    <mergeCell ref="AU2:AU5"/>
    <mergeCell ref="AV2:AW5"/>
    <mergeCell ref="G6:H6"/>
    <mergeCell ref="G7:G22"/>
    <mergeCell ref="H7:H22"/>
    <mergeCell ref="BQ2:BR5"/>
    <mergeCell ref="BS2:BS5"/>
    <mergeCell ref="X3:X5"/>
    <mergeCell ref="G4:H4"/>
    <mergeCell ref="BK2:BK5"/>
    <mergeCell ref="BL2:BM5"/>
    <mergeCell ref="BN2:BN5"/>
    <mergeCell ref="BO2:BO5"/>
    <mergeCell ref="BP2:BP5"/>
    <mergeCell ref="AX2:AX5"/>
    <mergeCell ref="AG2:AH5"/>
    <mergeCell ref="AI2:AI5"/>
    <mergeCell ref="AJ2:AK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9EA4-1875-4553-8AE9-A4C49EB5983E}">
  <sheetPr codeName="List7"/>
  <dimension ref="A1:Z137"/>
  <sheetViews>
    <sheetView showGridLines="0" showRowColHeaders="0" showZeros="0" zoomScale="90" zoomScaleNormal="90" workbookViewId="0">
      <pane ySplit="19" topLeftCell="A20" activePane="bottomLeft" state="frozen"/>
      <selection pane="bottomLeft" activeCell="F7" sqref="F7:W7"/>
    </sheetView>
  </sheetViews>
  <sheetFormatPr defaultColWidth="0" defaultRowHeight="15" zeroHeight="1" x14ac:dyDescent="0.25"/>
  <cols>
    <col min="1" max="1" width="4.42578125" customWidth="1"/>
    <col min="2" max="2" width="11.42578125" customWidth="1"/>
    <col min="3" max="3" width="1.7109375" customWidth="1"/>
    <col min="4" max="4" width="12.5703125" customWidth="1"/>
    <col min="5" max="5" width="2.28515625" customWidth="1"/>
    <col min="6" max="6" width="16.5703125" customWidth="1"/>
    <col min="7" max="7" width="19.5703125" customWidth="1"/>
    <col min="8" max="8" width="4" customWidth="1"/>
    <col min="9" max="10" width="9.140625" customWidth="1"/>
    <col min="11" max="13" width="3.7109375" customWidth="1"/>
    <col min="14" max="14" width="7.7109375" customWidth="1"/>
    <col min="15" max="15" width="10.42578125" customWidth="1"/>
    <col min="16" max="16" width="9.140625" customWidth="1"/>
    <col min="17" max="17" width="12" customWidth="1"/>
    <col min="18" max="18" width="10.5703125" customWidth="1"/>
    <col min="19" max="19" width="13.7109375" customWidth="1"/>
    <col min="20" max="20" width="12.85546875" customWidth="1"/>
    <col min="21" max="21" width="5.7109375" customWidth="1"/>
    <col min="22" max="22" width="17.5703125" customWidth="1"/>
    <col min="23" max="23" width="9.140625" customWidth="1"/>
    <col min="24" max="24" width="2.85546875" customWidth="1"/>
    <col min="25" max="26" width="0" hidden="1" customWidth="1"/>
    <col min="27" max="16384" width="9.140625" hidden="1"/>
  </cols>
  <sheetData>
    <row r="1" spans="1:2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7"/>
      <c r="Q1" s="7"/>
      <c r="R1" s="7"/>
      <c r="S1" s="7"/>
      <c r="T1" s="7"/>
      <c r="U1" s="7"/>
      <c r="V1" s="7"/>
      <c r="W1" s="7"/>
    </row>
    <row r="2" spans="1:26" ht="15" customHeight="1" x14ac:dyDescent="0.25">
      <c r="A2" s="25"/>
      <c r="B2" s="25"/>
      <c r="C2" s="25"/>
      <c r="D2" s="25"/>
      <c r="E2" s="367" t="str">
        <f>Překlady!C105</f>
        <v>Souhrn</v>
      </c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8"/>
      <c r="T2" s="364" t="str">
        <f>Překlady!C7</f>
        <v>Úvod</v>
      </c>
      <c r="U2" s="211"/>
      <c r="V2" s="211"/>
      <c r="W2" s="211"/>
      <c r="Z2" t="str">
        <f>IF(Překlady!$D$1=1,"Kč",IF(Překlady!$D$1=2,"EUR",IF(Překlady!$D$1=3,"zl.",IF(Překlady!$D$1=4,"HUF"))))</f>
        <v>Kč</v>
      </c>
    </row>
    <row r="3" spans="1:26" ht="15" customHeight="1" x14ac:dyDescent="0.25">
      <c r="A3" s="25"/>
      <c r="B3" s="25"/>
      <c r="C3" s="25"/>
      <c r="D3" s="25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8"/>
      <c r="T3" s="364"/>
      <c r="U3" s="211"/>
      <c r="V3" s="211"/>
      <c r="W3" s="211"/>
    </row>
    <row r="4" spans="1:26" x14ac:dyDescent="0.25">
      <c r="A4" s="13"/>
      <c r="B4" s="13"/>
      <c r="C4" s="13"/>
      <c r="D4" s="13"/>
      <c r="E4" s="13"/>
      <c r="F4" s="13"/>
      <c r="G4" s="13"/>
      <c r="H4" s="13"/>
      <c r="I4" s="1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ht="15.75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6" x14ac:dyDescent="0.25">
      <c r="A6" s="7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4"/>
    </row>
    <row r="7" spans="1:26" ht="17.45" customHeight="1" x14ac:dyDescent="0.25">
      <c r="A7" s="7"/>
      <c r="B7" s="369" t="str">
        <f>Překlady!C124</f>
        <v>Název firmy:</v>
      </c>
      <c r="C7" s="370"/>
      <c r="D7" s="370"/>
      <c r="E7" s="7"/>
      <c r="F7" s="365">
        <f>Zak!G10</f>
        <v>0</v>
      </c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6"/>
    </row>
    <row r="8" spans="1:26" x14ac:dyDescent="0.25">
      <c r="A8" s="7"/>
      <c r="B8" s="95"/>
      <c r="C8" s="96"/>
      <c r="D8" s="9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97"/>
    </row>
    <row r="9" spans="1:26" ht="17.45" customHeight="1" x14ac:dyDescent="0.25">
      <c r="A9" s="7"/>
      <c r="B9" s="369" t="str">
        <f>Překlady!C126</f>
        <v>IČO:</v>
      </c>
      <c r="C9" s="370"/>
      <c r="D9" s="370"/>
      <c r="E9" s="7"/>
      <c r="F9" s="365">
        <f>Zak!G12</f>
        <v>0</v>
      </c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6"/>
    </row>
    <row r="10" spans="1:26" x14ac:dyDescent="0.25">
      <c r="A10" s="7"/>
      <c r="B10" s="95"/>
      <c r="C10" s="96"/>
      <c r="D10" s="9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97"/>
    </row>
    <row r="11" spans="1:26" ht="17.45" customHeight="1" x14ac:dyDescent="0.25">
      <c r="A11" s="7"/>
      <c r="B11" s="369" t="str">
        <f>Překlady!C127</f>
        <v>Kontaktní tel a email:</v>
      </c>
      <c r="C11" s="370"/>
      <c r="D11" s="370"/>
      <c r="E11" s="7"/>
      <c r="F11" s="365">
        <f>Zak!G14</f>
        <v>0</v>
      </c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6"/>
    </row>
    <row r="12" spans="1:26" x14ac:dyDescent="0.25">
      <c r="A12" s="7"/>
      <c r="B12" s="95"/>
      <c r="C12" s="96"/>
      <c r="D12" s="9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7"/>
    </row>
    <row r="13" spans="1:26" ht="17.45" customHeight="1" x14ac:dyDescent="0.25">
      <c r="A13" s="7"/>
      <c r="B13" s="369" t="str">
        <f>Překlady!C125</f>
        <v>Adresa dodání:</v>
      </c>
      <c r="C13" s="370"/>
      <c r="D13" s="370"/>
      <c r="E13" s="7"/>
      <c r="F13" s="365">
        <f>Zak!G16</f>
        <v>0</v>
      </c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6"/>
    </row>
    <row r="14" spans="1:26" ht="15" customHeight="1" thickBot="1" x14ac:dyDescent="0.3">
      <c r="A14" s="7"/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</row>
    <row r="15" spans="1:26" ht="16.899999999999999" customHeight="1" thickBo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6" ht="25.15" customHeight="1" thickBot="1" x14ac:dyDescent="0.3">
      <c r="A16" s="7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</row>
    <row r="17" spans="1:23" ht="25.15" customHeight="1" thickBot="1" x14ac:dyDescent="0.3">
      <c r="A17" s="7"/>
      <c r="B17" s="363" t="str">
        <f>Překlady!C116</f>
        <v>Sleva:</v>
      </c>
      <c r="C17" s="359"/>
      <c r="D17" s="359"/>
      <c r="E17" s="96"/>
      <c r="F17" s="145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359" t="str">
        <f>Překlady!$C$132</f>
        <v>Celková cena:</v>
      </c>
      <c r="S17" s="359"/>
      <c r="T17" s="359"/>
      <c r="U17" s="7"/>
      <c r="V17" s="144">
        <f>V47+V76+V105+V134</f>
        <v>0</v>
      </c>
      <c r="W17" s="132" t="str">
        <f t="shared" ref="W17" si="0">IF(V17&lt;&gt;"",$Z$2,"")</f>
        <v>Kč</v>
      </c>
    </row>
    <row r="18" spans="1:23" ht="25.15" customHeight="1" thickBot="1" x14ac:dyDescent="0.3">
      <c r="A18" s="7"/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0"/>
    </row>
    <row r="19" spans="1:23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customHeight="1" x14ac:dyDescent="0.25">
      <c r="A20" s="7"/>
      <c r="B20" s="371" t="str">
        <f>Překlady!$C$11&amp;" 1"</f>
        <v>Sestava 1</v>
      </c>
      <c r="C20" s="372"/>
      <c r="D20" s="372"/>
      <c r="E20" s="139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4"/>
    </row>
    <row r="21" spans="1:23" ht="15.75" customHeight="1" x14ac:dyDescent="0.25">
      <c r="A21" s="7"/>
      <c r="B21" s="373"/>
      <c r="C21" s="374"/>
      <c r="D21" s="374"/>
      <c r="E21" s="51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7"/>
    </row>
    <row r="22" spans="1:23" ht="9.6" hidden="1" customHeight="1" x14ac:dyDescent="0.25">
      <c r="A22" s="7"/>
      <c r="B22" s="101"/>
      <c r="C22" s="7"/>
      <c r="D22" s="7"/>
      <c r="E22" s="22"/>
      <c r="F22" s="7"/>
      <c r="G22" s="7"/>
      <c r="H22" s="7"/>
      <c r="I22" s="7"/>
      <c r="J22" s="7"/>
      <c r="K22" s="7"/>
      <c r="L22" s="7"/>
      <c r="M22" s="50"/>
      <c r="N22" s="50"/>
      <c r="O22" s="102"/>
      <c r="P22" s="50"/>
      <c r="Q22" s="50"/>
      <c r="R22" s="50"/>
      <c r="S22" s="50"/>
      <c r="T22" s="50"/>
      <c r="U22" s="50"/>
      <c r="V22" s="50"/>
      <c r="W22" s="103"/>
    </row>
    <row r="23" spans="1:23" ht="14.45" hidden="1" customHeight="1" x14ac:dyDescent="0.25">
      <c r="A23" s="7"/>
      <c r="B23" s="104"/>
      <c r="C23" s="7"/>
      <c r="D23" s="7"/>
      <c r="E23" s="7"/>
      <c r="F23" s="7"/>
      <c r="G23" s="7"/>
      <c r="H23" s="7"/>
      <c r="I23" s="7"/>
      <c r="J23" s="7"/>
      <c r="K23" s="7"/>
      <c r="L23" s="7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103"/>
    </row>
    <row r="24" spans="1:23" ht="15.75" hidden="1" thickBot="1" x14ac:dyDescent="0.3">
      <c r="A24" s="7"/>
      <c r="B24" s="10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03"/>
    </row>
    <row r="25" spans="1:23" ht="15.75" thickBot="1" x14ac:dyDescent="0.3">
      <c r="A25" s="7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</row>
    <row r="26" spans="1:23" ht="15.75" x14ac:dyDescent="0.25">
      <c r="A26" s="7"/>
      <c r="B26" s="105" t="str">
        <f>Překlady!$C$111</f>
        <v>Kód:</v>
      </c>
      <c r="C26" s="106"/>
      <c r="D26" s="106" t="str">
        <f>Překlady!$C$122</f>
        <v>Dodací kód:</v>
      </c>
      <c r="E26" s="107" t="str">
        <f>Překlady!$C$112</f>
        <v>Název:</v>
      </c>
      <c r="F26" s="106"/>
      <c r="G26" s="106"/>
      <c r="H26" s="106"/>
      <c r="I26" s="106"/>
      <c r="J26" s="106"/>
      <c r="K26" s="106"/>
      <c r="L26" s="106"/>
      <c r="M26" s="108"/>
      <c r="N26" s="109"/>
      <c r="O26" s="108" t="str">
        <f>Překlady!$C$119</f>
        <v>Množství:</v>
      </c>
      <c r="P26" s="109"/>
      <c r="Q26" s="108" t="str">
        <f>Překlady!$C$114</f>
        <v>Cena/ks:</v>
      </c>
      <c r="R26" s="106"/>
      <c r="S26" s="109"/>
      <c r="T26" s="108" t="str">
        <f>Překlady!$C$115</f>
        <v>Cena celkem:</v>
      </c>
      <c r="U26" s="109"/>
      <c r="V26" s="108" t="str">
        <f>Překlady!$C$117</f>
        <v>Cena po slevě:</v>
      </c>
      <c r="W26" s="110"/>
    </row>
    <row r="27" spans="1:23" x14ac:dyDescent="0.25">
      <c r="A27" s="7"/>
      <c r="B27" s="104"/>
      <c r="C27" s="7"/>
      <c r="D27" s="7"/>
      <c r="E27" s="7"/>
      <c r="F27" s="7"/>
      <c r="G27" s="7"/>
      <c r="H27" s="7"/>
      <c r="I27" s="7"/>
      <c r="J27" s="7"/>
      <c r="K27" s="7"/>
      <c r="L27" s="7"/>
      <c r="M27" s="102"/>
      <c r="N27" s="50"/>
      <c r="O27" s="102"/>
      <c r="P27" s="50"/>
      <c r="Q27" s="102"/>
      <c r="R27" s="7"/>
      <c r="S27" s="50"/>
      <c r="T27" s="102"/>
      <c r="U27" s="50"/>
      <c r="V27" s="102"/>
      <c r="W27" s="103"/>
    </row>
    <row r="28" spans="1:23" x14ac:dyDescent="0.25">
      <c r="A28" s="7"/>
      <c r="B28" s="111" t="str">
        <f>IFERROR((TRIM(Sestava1!$AQ$22)),"")</f>
        <v/>
      </c>
      <c r="C28" s="7"/>
      <c r="D28" s="50" t="str">
        <f>IFERROR((VLOOKUP(B28,Vkarty!$A$3:$D$500,3,0)),"")</f>
        <v/>
      </c>
      <c r="E28" s="358" t="str">
        <f>IFERROR((VLOOKUP(B28,Vkarty!$A$3:$D$500,4,0)),"")</f>
        <v/>
      </c>
      <c r="F28" s="358"/>
      <c r="G28" s="358"/>
      <c r="H28" s="358"/>
      <c r="I28" s="358"/>
      <c r="J28" s="358"/>
      <c r="K28" s="358"/>
      <c r="L28" s="358"/>
      <c r="M28" s="358"/>
      <c r="N28" s="358"/>
      <c r="O28" s="50">
        <f>Sestava1!$G$23*Sestava1!$G$130</f>
        <v>0</v>
      </c>
      <c r="P28" s="50"/>
      <c r="Q28" s="112" t="str">
        <f>IFERROR((VLOOKUP(D28,'1066'!$A$2:$B$1225,2,0)),"")</f>
        <v/>
      </c>
      <c r="R28" s="7" t="str">
        <f>IF(Q28&lt;&gt;"",$Z$2,"")</f>
        <v/>
      </c>
      <c r="S28" s="50"/>
      <c r="T28" s="112" t="str">
        <f t="shared" ref="T28:T34" si="1">IFERROR((O28*Q28),"")</f>
        <v/>
      </c>
      <c r="U28" s="7" t="str">
        <f>IF(T28&lt;&gt;"",$Z$2,"")</f>
        <v/>
      </c>
      <c r="V28" s="112" t="str">
        <f>IFERROR(((100-$F$17)/100*T28),"")</f>
        <v/>
      </c>
      <c r="W28" s="131" t="str">
        <f>IF(V28&lt;&gt;"",$Z$2,"")</f>
        <v/>
      </c>
    </row>
    <row r="29" spans="1:23" ht="14.45" customHeight="1" x14ac:dyDescent="0.25">
      <c r="A29" s="7"/>
      <c r="B29" s="111" t="str">
        <f>IFERROR((Sestava1!$AQ$25),"")</f>
        <v/>
      </c>
      <c r="C29" s="7"/>
      <c r="D29" s="50" t="str">
        <f>IFERROR((VLOOKUP(B29,Vkarty!$A$3:$D$500,3,0)),"")</f>
        <v/>
      </c>
      <c r="E29" s="358" t="str">
        <f>IFERROR((VLOOKUP(B29,Vkarty!$A$3:$D$500,4,0)),"")</f>
        <v/>
      </c>
      <c r="F29" s="358"/>
      <c r="G29" s="358"/>
      <c r="H29" s="358"/>
      <c r="I29" s="358"/>
      <c r="J29" s="358"/>
      <c r="K29" s="358"/>
      <c r="L29" s="358"/>
      <c r="M29" s="358"/>
      <c r="N29" s="358"/>
      <c r="O29" s="50">
        <f>Sestava1!$G$36*Sestava1!$G$130</f>
        <v>0</v>
      </c>
      <c r="P29" s="50"/>
      <c r="Q29" s="112" t="str">
        <f>IFERROR((VLOOKUP(D29,'1066'!$A$2:$B$1225,2,0)),"")</f>
        <v/>
      </c>
      <c r="R29" s="7" t="str">
        <f t="shared" ref="R29:R39" si="2">IF(Q29&lt;&gt;"",$Z$2,"")</f>
        <v/>
      </c>
      <c r="S29" s="50"/>
      <c r="T29" s="112" t="str">
        <f t="shared" si="1"/>
        <v/>
      </c>
      <c r="U29" s="7" t="str">
        <f t="shared" ref="U29:U33" si="3">IF(T29&lt;&gt;"",$Z$2,"")</f>
        <v/>
      </c>
      <c r="V29" s="112" t="str">
        <f>IFERROR(((100-F17)/100*T29),"")</f>
        <v/>
      </c>
      <c r="W29" s="131" t="str">
        <f t="shared" ref="W29:W39" si="4">IF(V29&lt;&gt;"",$Z$2,"")</f>
        <v/>
      </c>
    </row>
    <row r="30" spans="1:23" x14ac:dyDescent="0.25">
      <c r="A30" s="7"/>
      <c r="B30" s="111" t="str">
        <f>IFERROR((Sestava1!$AN$101),"")</f>
        <v/>
      </c>
      <c r="C30" s="7"/>
      <c r="D30" s="50" t="str">
        <f>IFERROR((VLOOKUP(B30,Vkarty!$A$3:$D$500,3,0)),"")</f>
        <v/>
      </c>
      <c r="E30" s="358" t="str">
        <f>IFERROR((VLOOKUP(B30,Vkarty!$A$3:$D$500,4,0)),"")</f>
        <v/>
      </c>
      <c r="F30" s="358"/>
      <c r="G30" s="358"/>
      <c r="H30" s="358"/>
      <c r="I30" s="358"/>
      <c r="J30" s="358"/>
      <c r="K30" s="358"/>
      <c r="L30" s="358"/>
      <c r="M30" s="358"/>
      <c r="N30" s="358"/>
      <c r="O30" s="50">
        <f>CEILING((Sestava1!$I$72+Sestava1!$I$73+Sestava1!$O$72+Sestava1!$O$73)/1000,1)*Sestava1!$G$130</f>
        <v>0</v>
      </c>
      <c r="P30" s="50"/>
      <c r="Q30" s="112" t="str">
        <f>IFERROR((VLOOKUP(D30,'1066'!$A$2:$B$1225,2,0)),"")</f>
        <v/>
      </c>
      <c r="R30" s="7" t="str">
        <f t="shared" si="2"/>
        <v/>
      </c>
      <c r="S30" s="50"/>
      <c r="T30" s="112" t="str">
        <f t="shared" si="1"/>
        <v/>
      </c>
      <c r="U30" s="7" t="str">
        <f t="shared" si="3"/>
        <v/>
      </c>
      <c r="V30" s="112" t="str">
        <f>IFERROR(((100-$F$17)/100*T30),"")</f>
        <v/>
      </c>
      <c r="W30" s="131" t="str">
        <f t="shared" si="4"/>
        <v/>
      </c>
    </row>
    <row r="31" spans="1:23" x14ac:dyDescent="0.25">
      <c r="A31" s="7"/>
      <c r="B31" s="111" t="str">
        <f>IFERROR((Sestava1!$AQ$27),"")</f>
        <v/>
      </c>
      <c r="C31" s="7"/>
      <c r="D31" s="50" t="str">
        <f>IFERROR((VLOOKUP(B31,Vkarty!$A$3:$D$500,3,0)),"")</f>
        <v/>
      </c>
      <c r="E31" s="358" t="str">
        <f>IFERROR((VLOOKUP(B31,Vkarty!$A$3:$D$500,4,0)),"")</f>
        <v/>
      </c>
      <c r="F31" s="358"/>
      <c r="G31" s="358"/>
      <c r="H31" s="358"/>
      <c r="I31" s="358"/>
      <c r="J31" s="358"/>
      <c r="K31" s="358"/>
      <c r="L31" s="358"/>
      <c r="M31" s="358"/>
      <c r="N31" s="358"/>
      <c r="O31" s="50">
        <f>Sestava1!$G$27*Sestava1!$G$130</f>
        <v>0</v>
      </c>
      <c r="P31" s="50"/>
      <c r="Q31" s="112" t="str">
        <f>IFERROR((VLOOKUP(D31,'1066'!$A$2:$B$1225,2,0)),"")</f>
        <v/>
      </c>
      <c r="R31" s="7" t="str">
        <f t="shared" si="2"/>
        <v/>
      </c>
      <c r="S31" s="50"/>
      <c r="T31" s="112" t="str">
        <f t="shared" si="1"/>
        <v/>
      </c>
      <c r="U31" s="7" t="str">
        <f t="shared" si="3"/>
        <v/>
      </c>
      <c r="V31" s="112" t="str">
        <f>IFERROR(((100-$F$17)/100*T31),"")</f>
        <v/>
      </c>
      <c r="W31" s="131" t="str">
        <f t="shared" si="4"/>
        <v/>
      </c>
    </row>
    <row r="32" spans="1:23" x14ac:dyDescent="0.25">
      <c r="A32" s="7"/>
      <c r="B32" s="111" t="str">
        <f>IFERROR((Sestava1!$AM$119),"")</f>
        <v/>
      </c>
      <c r="C32" s="7"/>
      <c r="D32" s="50" t="str">
        <f>IFERROR((VLOOKUP(B32,Vkarty!$A$3:$D$500,3,0)),"")</f>
        <v/>
      </c>
      <c r="E32" s="358" t="str">
        <f>IFERROR((VLOOKUP(B32,Vkarty!$A$3:$D$500,4,0)),"")</f>
        <v/>
      </c>
      <c r="F32" s="358"/>
      <c r="G32" s="358"/>
      <c r="H32" s="358"/>
      <c r="I32" s="358"/>
      <c r="J32" s="358"/>
      <c r="K32" s="358"/>
      <c r="L32" s="358"/>
      <c r="M32" s="358"/>
      <c r="N32" s="358"/>
      <c r="O32" s="50">
        <f>Sestava1!$G$130</f>
        <v>0</v>
      </c>
      <c r="P32" s="50"/>
      <c r="Q32" s="112" t="str">
        <f>IFERROR((VLOOKUP(D32,'1066'!$A$2:$B$1225,2,0)),"")</f>
        <v/>
      </c>
      <c r="R32" s="7" t="str">
        <f t="shared" si="2"/>
        <v/>
      </c>
      <c r="S32" s="50"/>
      <c r="T32" s="112" t="str">
        <f t="shared" si="1"/>
        <v/>
      </c>
      <c r="U32" s="7" t="str">
        <f t="shared" si="3"/>
        <v/>
      </c>
      <c r="V32" s="112" t="str">
        <f t="shared" ref="V32:V34" si="5">IFERROR(((100-$F$17)/100*T32),"")</f>
        <v/>
      </c>
      <c r="W32" s="131" t="str">
        <f t="shared" si="4"/>
        <v/>
      </c>
    </row>
    <row r="33" spans="1:23" x14ac:dyDescent="0.25">
      <c r="A33" s="7"/>
      <c r="B33" s="104" t="str">
        <f>IFERROR((VLOOKUP(Sestava1!$G$112,Produkty!$B$157:$C$225,2,0)),"")</f>
        <v/>
      </c>
      <c r="C33" s="7"/>
      <c r="D33" s="50" t="str">
        <f>IFERROR((VLOOKUP(B33,Vkarty!$A$3:$D$500,3,0)),"")</f>
        <v/>
      </c>
      <c r="E33" s="358" t="str">
        <f>IFERROR((VLOOKUP(B33,Vkarty!$A$3:$D$500,4,0)),"")</f>
        <v/>
      </c>
      <c r="F33" s="358"/>
      <c r="G33" s="358"/>
      <c r="H33" s="358"/>
      <c r="I33" s="358"/>
      <c r="J33" s="358"/>
      <c r="K33" s="358"/>
      <c r="L33" s="358"/>
      <c r="M33" s="358"/>
      <c r="N33" s="358"/>
      <c r="O33" s="50">
        <f>IF(Sestava1!$W$112="",1,Sestava1!$W$112)*Sestava1!$G$130</f>
        <v>0</v>
      </c>
      <c r="P33" s="50"/>
      <c r="Q33" s="112" t="str">
        <f>IFERROR((VLOOKUP(D33,'1066'!$A$2:$B$1225,2,0)),"")</f>
        <v/>
      </c>
      <c r="R33" s="7" t="str">
        <f t="shared" si="2"/>
        <v/>
      </c>
      <c r="S33" s="50"/>
      <c r="T33" s="112" t="str">
        <f t="shared" si="1"/>
        <v/>
      </c>
      <c r="U33" s="7" t="str">
        <f t="shared" si="3"/>
        <v/>
      </c>
      <c r="V33" s="112" t="str">
        <f t="shared" si="5"/>
        <v/>
      </c>
      <c r="W33" s="131" t="str">
        <f t="shared" si="4"/>
        <v/>
      </c>
    </row>
    <row r="34" spans="1:23" x14ac:dyDescent="0.25">
      <c r="A34" s="7"/>
      <c r="B34" s="101" t="str">
        <f>IFERROR((VLOOKUP(Sestava1!$G$114,Produkty!$B$214:$C$231,2,0)),"")</f>
        <v/>
      </c>
      <c r="C34" s="7"/>
      <c r="D34" s="50" t="str">
        <f>IFERROR((VLOOKUP(B34,Vkarty!$A$3:$D$500,3,0)),"")</f>
        <v/>
      </c>
      <c r="E34" s="358" t="str">
        <f>IFERROR((VLOOKUP(B34,Vkarty!$A$3:$D$500,4,0)),"")</f>
        <v/>
      </c>
      <c r="F34" s="358"/>
      <c r="G34" s="358"/>
      <c r="H34" s="358"/>
      <c r="I34" s="358"/>
      <c r="J34" s="358"/>
      <c r="K34" s="358"/>
      <c r="L34" s="358"/>
      <c r="M34" s="358"/>
      <c r="N34" s="358"/>
      <c r="O34" s="102">
        <f>IF(Sestava1!$W$114=Překlady!$C$97,1,IF(Sestava1!$W$114=Překlady!$C$98,2,0))*Sestava1!$G$130</f>
        <v>0</v>
      </c>
      <c r="P34" s="50"/>
      <c r="Q34" s="112" t="str">
        <f>IFERROR((VLOOKUP(D34,'1066'!$A$2:$B$1225,2,0)),"")</f>
        <v/>
      </c>
      <c r="R34" s="7" t="str">
        <f t="shared" si="2"/>
        <v/>
      </c>
      <c r="S34" s="50"/>
      <c r="T34" s="112" t="str">
        <f t="shared" si="1"/>
        <v/>
      </c>
      <c r="U34" s="7" t="str">
        <f>IF(T34&lt;&gt;"",$Z$2,"")</f>
        <v/>
      </c>
      <c r="V34" s="112" t="str">
        <f t="shared" si="5"/>
        <v/>
      </c>
      <c r="W34" s="131" t="str">
        <f t="shared" si="4"/>
        <v/>
      </c>
    </row>
    <row r="35" spans="1:23" x14ac:dyDescent="0.25">
      <c r="A35" s="7"/>
      <c r="B35" s="10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12"/>
      <c r="R35" s="7"/>
      <c r="S35" s="7"/>
      <c r="T35" s="112"/>
      <c r="U35" s="7"/>
      <c r="V35" s="112"/>
      <c r="W35" s="97"/>
    </row>
    <row r="36" spans="1:23" x14ac:dyDescent="0.25">
      <c r="A36" s="7"/>
      <c r="B36" s="111" t="str">
        <f>IF(Ses1_pom!$C$29&gt;0,Ses1_pom!$E$30,"")</f>
        <v/>
      </c>
      <c r="C36" s="7"/>
      <c r="D36" s="50" t="str">
        <f>IFERROR((VLOOKUP(B36,Vkarty!$A$3:$D$500,3,0)),"")</f>
        <v/>
      </c>
      <c r="E36" s="358" t="str">
        <f>IFERROR((VLOOKUP(B36,Vkarty!$A$3:$D$500,4,0)),"")</f>
        <v/>
      </c>
      <c r="F36" s="358"/>
      <c r="G36" s="358"/>
      <c r="H36" s="358"/>
      <c r="I36" s="358"/>
      <c r="J36" s="358"/>
      <c r="K36" s="358"/>
      <c r="L36" s="358"/>
      <c r="M36" s="358"/>
      <c r="N36" s="358"/>
      <c r="O36" s="50">
        <f>IF(Ses1_pom!$C$29&gt;0,Ses1_pom!$F$30,0)*Sestava1!$G$130</f>
        <v>0</v>
      </c>
      <c r="P36" s="7"/>
      <c r="Q36" s="112" t="str">
        <f>IFERROR((VLOOKUP(D36,'1066'!$A$2:$B$1225,2,0)),"")</f>
        <v/>
      </c>
      <c r="R36" s="7" t="str">
        <f t="shared" si="2"/>
        <v/>
      </c>
      <c r="S36" s="7"/>
      <c r="T36" s="112" t="str">
        <f>IFERROR((O36*Q36),"")</f>
        <v/>
      </c>
      <c r="U36" s="7" t="str">
        <f t="shared" ref="U36:U39" si="6">IF(T36&lt;&gt;"",$Z$2,"")</f>
        <v/>
      </c>
      <c r="V36" s="112" t="str">
        <f>IFERROR(((100-$F$17)/100*T36),"")</f>
        <v/>
      </c>
      <c r="W36" s="131" t="str">
        <f t="shared" si="4"/>
        <v/>
      </c>
    </row>
    <row r="37" spans="1:23" x14ac:dyDescent="0.25">
      <c r="A37" s="7"/>
      <c r="B37" s="111" t="str">
        <f>IF(Ses1_pom!$C$29&gt;1,Ses1_pom!$E$31,"")</f>
        <v/>
      </c>
      <c r="C37" s="7"/>
      <c r="D37" s="50" t="str">
        <f>IFERROR((VLOOKUP(B37,Vkarty!$A$3:$D$500,3,0)),"")</f>
        <v/>
      </c>
      <c r="E37" s="358" t="str">
        <f>IFERROR((VLOOKUP(B37,Vkarty!$A$3:$D$500,4,0)),"")</f>
        <v/>
      </c>
      <c r="F37" s="358"/>
      <c r="G37" s="358"/>
      <c r="H37" s="358"/>
      <c r="I37" s="358"/>
      <c r="J37" s="358"/>
      <c r="K37" s="358"/>
      <c r="L37" s="358"/>
      <c r="M37" s="358"/>
      <c r="N37" s="358"/>
      <c r="O37" s="50">
        <f>IF(Ses1_pom!$C$29&gt;1,Ses1_pom!$F$31,0)*Sestava1!$G$130</f>
        <v>0</v>
      </c>
      <c r="P37" s="7"/>
      <c r="Q37" s="112" t="str">
        <f>IFERROR((VLOOKUP(D37,'1066'!$A$2:$B$1225,2,0)),"")</f>
        <v/>
      </c>
      <c r="R37" s="7" t="str">
        <f t="shared" si="2"/>
        <v/>
      </c>
      <c r="S37" s="7"/>
      <c r="T37" s="112" t="str">
        <f>IFERROR((O37*Q37),"")</f>
        <v/>
      </c>
      <c r="U37" s="7" t="str">
        <f t="shared" si="6"/>
        <v/>
      </c>
      <c r="V37" s="112" t="str">
        <f t="shared" ref="V37:V39" si="7">IFERROR(((100-$F$17)/100*T37),"")</f>
        <v/>
      </c>
      <c r="W37" s="131" t="str">
        <f t="shared" si="4"/>
        <v/>
      </c>
    </row>
    <row r="38" spans="1:23" x14ac:dyDescent="0.25">
      <c r="A38" s="7"/>
      <c r="B38" s="111" t="str">
        <f>IF(Ses1_pom!$C$29&gt;2,Ses1_pom!$E$32,"")</f>
        <v/>
      </c>
      <c r="C38" s="7"/>
      <c r="D38" s="50" t="str">
        <f>IFERROR((VLOOKUP(B38,Vkarty!$A$3:$D$500,3,0)),"")</f>
        <v/>
      </c>
      <c r="E38" s="358" t="str">
        <f>IFERROR((VLOOKUP(B38,Vkarty!$A$3:$D$500,4,0)),"")</f>
        <v/>
      </c>
      <c r="F38" s="358"/>
      <c r="G38" s="358"/>
      <c r="H38" s="358"/>
      <c r="I38" s="358"/>
      <c r="J38" s="358"/>
      <c r="K38" s="358"/>
      <c r="L38" s="358"/>
      <c r="M38" s="358"/>
      <c r="N38" s="358"/>
      <c r="O38" s="50">
        <f>IF(Ses1_pom!$C$29&gt;2,Ses1_pom!$F$32,0)*Sestava1!$G$130</f>
        <v>0</v>
      </c>
      <c r="P38" s="7"/>
      <c r="Q38" s="112" t="str">
        <f>IFERROR((VLOOKUP(D38,'1066'!$A$2:$B$1225,2,0)),"")</f>
        <v/>
      </c>
      <c r="R38" s="7" t="str">
        <f t="shared" si="2"/>
        <v/>
      </c>
      <c r="S38" s="7"/>
      <c r="T38" s="112" t="str">
        <f>IFERROR((O38*Q38),"")</f>
        <v/>
      </c>
      <c r="U38" s="7" t="str">
        <f t="shared" si="6"/>
        <v/>
      </c>
      <c r="V38" s="112" t="str">
        <f t="shared" si="7"/>
        <v/>
      </c>
      <c r="W38" s="131" t="str">
        <f t="shared" si="4"/>
        <v/>
      </c>
    </row>
    <row r="39" spans="1:23" x14ac:dyDescent="0.25">
      <c r="A39" s="7"/>
      <c r="B39" s="111" t="str">
        <f>IF(Ses1_pom!$C$29&gt;3,Ses1_pom!$E$33,"")</f>
        <v/>
      </c>
      <c r="C39" s="7"/>
      <c r="D39" s="50" t="str">
        <f>IFERROR((VLOOKUP(B39,Vkarty!$A$3:$D$500,3,0)),"")</f>
        <v/>
      </c>
      <c r="E39" s="358" t="str">
        <f>IFERROR((VLOOKUP(B39,Vkarty!$A$3:$D$500,4,0)),"")</f>
        <v/>
      </c>
      <c r="F39" s="358"/>
      <c r="G39" s="358"/>
      <c r="H39" s="358"/>
      <c r="I39" s="358"/>
      <c r="J39" s="358"/>
      <c r="K39" s="358"/>
      <c r="L39" s="358"/>
      <c r="M39" s="358"/>
      <c r="N39" s="358"/>
      <c r="O39" s="50">
        <f>IF(Ses1_pom!$C$29&gt;3,Ses1_pom!$F$33,0)*Sestava1!$G$130</f>
        <v>0</v>
      </c>
      <c r="P39" s="7"/>
      <c r="Q39" s="112" t="str">
        <f>IFERROR((VLOOKUP(D39,'1066'!$A$2:$B$1225,2,0)),"")</f>
        <v/>
      </c>
      <c r="R39" s="7" t="str">
        <f t="shared" si="2"/>
        <v/>
      </c>
      <c r="S39" s="7"/>
      <c r="T39" s="112" t="str">
        <f>IFERROR((O39*Q39),"")</f>
        <v/>
      </c>
      <c r="U39" s="7" t="str">
        <f t="shared" si="6"/>
        <v/>
      </c>
      <c r="V39" s="112" t="str">
        <f t="shared" si="7"/>
        <v/>
      </c>
      <c r="W39" s="131" t="str">
        <f t="shared" si="4"/>
        <v/>
      </c>
    </row>
    <row r="40" spans="1:23" x14ac:dyDescent="0.25">
      <c r="A40" s="7"/>
      <c r="B40" s="10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12"/>
      <c r="R40" s="7"/>
      <c r="S40" s="7"/>
      <c r="T40" s="112"/>
      <c r="U40" s="7"/>
      <c r="V40" s="112"/>
      <c r="W40" s="97"/>
    </row>
    <row r="41" spans="1:23" x14ac:dyDescent="0.25">
      <c r="A41" s="7"/>
      <c r="B41" s="10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12"/>
      <c r="R41" s="7"/>
      <c r="S41" s="7"/>
      <c r="T41" s="19"/>
      <c r="U41" s="7"/>
      <c r="V41" s="112"/>
      <c r="W41" s="97"/>
    </row>
    <row r="42" spans="1:23" x14ac:dyDescent="0.25">
      <c r="A42" s="7"/>
      <c r="B42" s="111" t="str">
        <f>IF(Sestava1!$G$69=Překlady!$C$15,"391584","")</f>
        <v/>
      </c>
      <c r="C42" s="7"/>
      <c r="D42" s="7"/>
      <c r="E42" s="7" t="str">
        <f>IF(Sestava1!$G$69=Překlady!$C$15,Poplatky!$C$8,"")</f>
        <v/>
      </c>
      <c r="F42" s="7"/>
      <c r="G42" s="7"/>
      <c r="H42" s="7"/>
      <c r="I42" s="7"/>
      <c r="J42" s="7"/>
      <c r="K42" s="7"/>
      <c r="L42" s="7"/>
      <c r="M42" s="7"/>
      <c r="N42" s="7"/>
      <c r="O42" s="50">
        <f>IF(Sestava1!$G$69=Překlady!$C$15,Ses1_pom!$E$23,0)*Sestava1!$G$130</f>
        <v>0</v>
      </c>
      <c r="P42" s="7"/>
      <c r="Q42" s="112" t="str">
        <f>IF(Sestava1!$G$69=Překlady!$C$15,Poplatky!$J$8,"")</f>
        <v/>
      </c>
      <c r="R42" s="7" t="str">
        <f t="shared" ref="R42:R44" si="8">IF(Q42&lt;&gt;"",$Z$2,"")</f>
        <v/>
      </c>
      <c r="S42" s="7"/>
      <c r="T42" s="112" t="str">
        <f>IFERROR((O42*Q42),"")</f>
        <v/>
      </c>
      <c r="U42" s="7" t="str">
        <f t="shared" ref="U42:U44" si="9">IF(T42&lt;&gt;"",$Z$2,"")</f>
        <v/>
      </c>
      <c r="V42" s="112" t="str">
        <f>T42</f>
        <v/>
      </c>
      <c r="W42" s="131" t="str">
        <f t="shared" ref="W42:W44" si="10">IF(V42&lt;&gt;"",$Z$2,"")</f>
        <v/>
      </c>
    </row>
    <row r="43" spans="1:23" x14ac:dyDescent="0.25">
      <c r="A43" s="7"/>
      <c r="B43" s="111" t="str">
        <f>IF(Sestava1!$G$130="","",208204)</f>
        <v/>
      </c>
      <c r="C43" s="7"/>
      <c r="D43" s="7"/>
      <c r="E43" s="7" t="str">
        <f>IF(Sestava1!$G$130="","",Poplatky!$C$6)</f>
        <v/>
      </c>
      <c r="F43" s="7"/>
      <c r="G43" s="7"/>
      <c r="H43" s="7"/>
      <c r="I43" s="7"/>
      <c r="J43" s="7"/>
      <c r="K43" s="7"/>
      <c r="L43" s="7"/>
      <c r="M43" s="7"/>
      <c r="N43" s="7"/>
      <c r="O43" s="50" t="str">
        <f>IFERROR((Ses1_pom!$F$23*Sestava1!$G$130),"")</f>
        <v/>
      </c>
      <c r="P43" s="7"/>
      <c r="Q43" s="112" t="str">
        <f>IF(Sestava1!$G$130="","",Poplatky!$J$6)</f>
        <v/>
      </c>
      <c r="R43" s="7" t="str">
        <f t="shared" si="8"/>
        <v/>
      </c>
      <c r="S43" s="7"/>
      <c r="T43" s="112" t="str">
        <f>IFERROR((O43*Q43),"")</f>
        <v/>
      </c>
      <c r="U43" s="7" t="str">
        <f t="shared" si="9"/>
        <v/>
      </c>
      <c r="V43" s="112" t="str">
        <f>T43</f>
        <v/>
      </c>
      <c r="W43" s="131" t="str">
        <f t="shared" si="10"/>
        <v/>
      </c>
    </row>
    <row r="44" spans="1:23" x14ac:dyDescent="0.25">
      <c r="A44" s="7"/>
      <c r="B44" s="111" t="str">
        <f>IF(Sestava1!$G$130="","",208203)</f>
        <v/>
      </c>
      <c r="C44" s="7"/>
      <c r="D44" s="7"/>
      <c r="E44" s="7" t="str">
        <f>IF(Sestava1!$G$130="","",Poplatky!$C$7)</f>
        <v/>
      </c>
      <c r="F44" s="7"/>
      <c r="G44" s="7"/>
      <c r="H44" s="7"/>
      <c r="I44" s="7"/>
      <c r="J44" s="7"/>
      <c r="K44" s="7"/>
      <c r="L44" s="7"/>
      <c r="M44" s="7"/>
      <c r="N44" s="7"/>
      <c r="O44" s="50">
        <f>Sestava1!$G$130</f>
        <v>0</v>
      </c>
      <c r="P44" s="7"/>
      <c r="Q44" s="112" t="str">
        <f>IF(Sestava1!$G$130="","",Poplatky!$J$7)</f>
        <v/>
      </c>
      <c r="R44" s="7" t="str">
        <f t="shared" si="8"/>
        <v/>
      </c>
      <c r="S44" s="7"/>
      <c r="T44" s="112" t="str">
        <f>IFERROR((O44*Q44),"")</f>
        <v/>
      </c>
      <c r="U44" s="7" t="str">
        <f t="shared" si="9"/>
        <v/>
      </c>
      <c r="V44" s="112" t="str">
        <f>T44</f>
        <v/>
      </c>
      <c r="W44" s="131" t="str">
        <f t="shared" si="10"/>
        <v/>
      </c>
    </row>
    <row r="45" spans="1:23" x14ac:dyDescent="0.25">
      <c r="A45" s="7"/>
      <c r="B45" s="1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19"/>
      <c r="U45" s="7"/>
      <c r="V45" s="19"/>
      <c r="W45" s="97"/>
    </row>
    <row r="46" spans="1:23" x14ac:dyDescent="0.25">
      <c r="A46" s="7"/>
      <c r="B46" s="10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19"/>
      <c r="W46" s="97"/>
    </row>
    <row r="47" spans="1:23" ht="28.9" customHeight="1" x14ac:dyDescent="0.25">
      <c r="A47" s="7"/>
      <c r="B47" s="10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359" t="str">
        <f>Překlady!$C$133&amp;"1:"</f>
        <v>Celková cena za Sestavu 1:</v>
      </c>
      <c r="S47" s="359"/>
      <c r="T47" s="359"/>
      <c r="U47" s="113"/>
      <c r="V47" s="116">
        <f>SUM(V28:V44)</f>
        <v>0</v>
      </c>
      <c r="W47" s="132" t="str">
        <f t="shared" ref="W47" si="11">IF(V47&lt;&gt;"",$Z$2,"")</f>
        <v>Kč</v>
      </c>
    </row>
    <row r="48" spans="1:23" ht="9" customHeight="1" x14ac:dyDescent="0.25">
      <c r="A48" s="7"/>
      <c r="B48" s="10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13"/>
      <c r="S48" s="113"/>
      <c r="T48" s="113"/>
      <c r="U48" s="113"/>
      <c r="V48" s="115"/>
      <c r="W48" s="114"/>
    </row>
    <row r="49" spans="1:23" ht="15.75" thickBot="1" x14ac:dyDescent="0.3">
      <c r="A49" s="7"/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100"/>
    </row>
    <row r="50" spans="1:23" ht="15.75" thickBo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8.75" x14ac:dyDescent="0.25">
      <c r="A51" s="7"/>
      <c r="B51" s="360" t="str">
        <f>Překlady!$C$11&amp;" 2"</f>
        <v>Sestava 2</v>
      </c>
      <c r="C51" s="361"/>
      <c r="D51" s="361"/>
      <c r="E51" s="139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4"/>
    </row>
    <row r="52" spans="1:23" ht="14.45" customHeight="1" x14ac:dyDescent="0.25">
      <c r="A52" s="7"/>
      <c r="B52" s="362"/>
      <c r="C52" s="211"/>
      <c r="D52" s="211"/>
      <c r="E52" s="51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97"/>
    </row>
    <row r="53" spans="1:23" ht="14.45" customHeight="1" x14ac:dyDescent="0.25">
      <c r="A53" s="7"/>
      <c r="B53" s="101"/>
      <c r="C53" s="7"/>
      <c r="D53" s="7"/>
      <c r="E53" s="22"/>
      <c r="F53" s="7"/>
      <c r="G53" s="7"/>
      <c r="H53" s="7"/>
      <c r="I53" s="7"/>
      <c r="J53" s="7"/>
      <c r="K53" s="7"/>
      <c r="L53" s="7"/>
      <c r="M53" s="50"/>
      <c r="N53" s="50"/>
      <c r="O53" s="102"/>
      <c r="P53" s="50"/>
      <c r="Q53" s="50"/>
      <c r="R53" s="50"/>
      <c r="S53" s="50"/>
      <c r="T53" s="50"/>
      <c r="U53" s="50"/>
      <c r="V53" s="50"/>
      <c r="W53" s="103"/>
    </row>
    <row r="54" spans="1:23" ht="15.75" thickBot="1" x14ac:dyDescent="0.3">
      <c r="A54" s="7"/>
      <c r="B54" s="104"/>
      <c r="C54" s="7"/>
      <c r="D54" s="7"/>
      <c r="E54" s="7"/>
      <c r="F54" s="7"/>
      <c r="G54" s="7"/>
      <c r="H54" s="7"/>
      <c r="I54" s="7"/>
      <c r="J54" s="7"/>
      <c r="K54" s="7"/>
      <c r="L54" s="7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103"/>
    </row>
    <row r="55" spans="1:23" ht="15.75" x14ac:dyDescent="0.25">
      <c r="A55" s="7"/>
      <c r="B55" s="105" t="str">
        <f>Překlady!$C$111</f>
        <v>Kód:</v>
      </c>
      <c r="C55" s="106"/>
      <c r="D55" s="106" t="str">
        <f>Překlady!$C$122</f>
        <v>Dodací kód:</v>
      </c>
      <c r="E55" s="107" t="str">
        <f>Překlady!$C$112</f>
        <v>Název:</v>
      </c>
      <c r="F55" s="106"/>
      <c r="G55" s="106"/>
      <c r="H55" s="106"/>
      <c r="I55" s="106"/>
      <c r="J55" s="106"/>
      <c r="K55" s="106"/>
      <c r="L55" s="106"/>
      <c r="M55" s="108"/>
      <c r="N55" s="109"/>
      <c r="O55" s="108" t="str">
        <f>Překlady!$C$119</f>
        <v>Množství:</v>
      </c>
      <c r="P55" s="109"/>
      <c r="Q55" s="108" t="str">
        <f>Překlady!$C$114</f>
        <v>Cena/ks:</v>
      </c>
      <c r="R55" s="106"/>
      <c r="S55" s="109"/>
      <c r="T55" s="108" t="str">
        <f>Překlady!$C$115</f>
        <v>Cena celkem:</v>
      </c>
      <c r="U55" s="109"/>
      <c r="V55" s="108" t="str">
        <f>Překlady!$C$117</f>
        <v>Cena po slevě:</v>
      </c>
      <c r="W55" s="110"/>
    </row>
    <row r="56" spans="1:23" ht="15.75" x14ac:dyDescent="0.25">
      <c r="A56" s="7"/>
      <c r="B56" s="104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142"/>
      <c r="U56" s="7"/>
      <c r="V56" s="143"/>
      <c r="W56" s="97"/>
    </row>
    <row r="57" spans="1:23" x14ac:dyDescent="0.25">
      <c r="A57" s="7"/>
      <c r="B57" s="111" t="str">
        <f>IFERROR((TRIM(Sestava2!$AQ$22)),"")</f>
        <v/>
      </c>
      <c r="C57" s="7"/>
      <c r="D57" s="50" t="str">
        <f>IFERROR((VLOOKUP(B57,Vkarty!$A$3:$D$500,3,0)),"")</f>
        <v/>
      </c>
      <c r="E57" s="358" t="str">
        <f>IFERROR((VLOOKUP(B57,Vkarty!$A$3:$D$500,4,0)),"")</f>
        <v/>
      </c>
      <c r="F57" s="358"/>
      <c r="G57" s="358"/>
      <c r="H57" s="358"/>
      <c r="I57" s="358"/>
      <c r="J57" s="358"/>
      <c r="K57" s="358"/>
      <c r="L57" s="358"/>
      <c r="M57" s="358"/>
      <c r="N57" s="358"/>
      <c r="O57" s="50">
        <f>Sestava2!$G$23*Sestava2!$G$130</f>
        <v>0</v>
      </c>
      <c r="P57" s="50"/>
      <c r="Q57" s="112" t="str">
        <f>IFERROR((VLOOKUP(D57,'1066'!$A$2:$B$1225,2,0)),"")</f>
        <v/>
      </c>
      <c r="R57" s="7" t="str">
        <f>IF(Q57&lt;&gt;"",$Z$2,"")</f>
        <v/>
      </c>
      <c r="S57" s="50"/>
      <c r="T57" s="112" t="str">
        <f t="shared" ref="T57:T63" si="12">IFERROR((O57*Q57),"")</f>
        <v/>
      </c>
      <c r="U57" s="7" t="str">
        <f>IF(T57&lt;&gt;"",$Z$2,"")</f>
        <v/>
      </c>
      <c r="V57" s="112" t="str">
        <f>IFERROR(((100-$F$17)/100*T57),"")</f>
        <v/>
      </c>
      <c r="W57" s="131" t="str">
        <f>IF(V57&lt;&gt;"",$Z$2,"")</f>
        <v/>
      </c>
    </row>
    <row r="58" spans="1:23" x14ac:dyDescent="0.25">
      <c r="A58" s="7"/>
      <c r="B58" s="111" t="str">
        <f>IFERROR((Sestava2!$AQ$25),"")</f>
        <v/>
      </c>
      <c r="C58" s="7"/>
      <c r="D58" s="50" t="str">
        <f>IFERROR((VLOOKUP(B58,Vkarty!$A$3:$D$500,3,0)),"")</f>
        <v/>
      </c>
      <c r="E58" s="358" t="str">
        <f>IFERROR((VLOOKUP(B58,Vkarty!$A$3:$D$500,4,0)),"")</f>
        <v/>
      </c>
      <c r="F58" s="358"/>
      <c r="G58" s="358"/>
      <c r="H58" s="358"/>
      <c r="I58" s="358"/>
      <c r="J58" s="358"/>
      <c r="K58" s="358"/>
      <c r="L58" s="358"/>
      <c r="M58" s="358"/>
      <c r="N58" s="358"/>
      <c r="O58" s="50">
        <f>Sestava2!$G$36*Sestava2!$G$130</f>
        <v>0</v>
      </c>
      <c r="P58" s="50"/>
      <c r="Q58" s="112" t="str">
        <f>IFERROR((VLOOKUP(D58,'1066'!$A$2:$B$1225,2,0)),"")</f>
        <v/>
      </c>
      <c r="R58" s="7" t="str">
        <f t="shared" ref="R58:R63" si="13">IF(Q58&lt;&gt;"",$Z$2,"")</f>
        <v/>
      </c>
      <c r="S58" s="50"/>
      <c r="T58" s="112" t="str">
        <f t="shared" si="12"/>
        <v/>
      </c>
      <c r="U58" s="7" t="str">
        <f t="shared" ref="U58:U62" si="14">IF(T58&lt;&gt;"",$Z$2,"")</f>
        <v/>
      </c>
      <c r="V58" s="112" t="str">
        <f>IFERROR(((100-F46)/100*T58),"")</f>
        <v/>
      </c>
      <c r="W58" s="131" t="str">
        <f t="shared" ref="W58:W63" si="15">IF(V58&lt;&gt;"",$Z$2,"")</f>
        <v/>
      </c>
    </row>
    <row r="59" spans="1:23" x14ac:dyDescent="0.25">
      <c r="A59" s="7"/>
      <c r="B59" s="111" t="str">
        <f>IFERROR((Sestava2!$AN$101),"")</f>
        <v/>
      </c>
      <c r="C59" s="7"/>
      <c r="D59" s="50" t="str">
        <f>IFERROR((VLOOKUP(B59,Vkarty!$A$3:$D$500,3,0)),"")</f>
        <v/>
      </c>
      <c r="E59" s="358" t="str">
        <f>IFERROR((VLOOKUP(B59,Vkarty!$A$3:$D$500,4,0)),"")</f>
        <v/>
      </c>
      <c r="F59" s="358"/>
      <c r="G59" s="358"/>
      <c r="H59" s="358"/>
      <c r="I59" s="358"/>
      <c r="J59" s="358"/>
      <c r="K59" s="358"/>
      <c r="L59" s="358"/>
      <c r="M59" s="358"/>
      <c r="N59" s="358"/>
      <c r="O59" s="50">
        <f>CEILING((Sestava2!$I$72+Sestava2!$I$73+Sestava2!$O$72+Sestava2!$O$73)/1000,1)*Sestava2!$G$130</f>
        <v>0</v>
      </c>
      <c r="P59" s="50"/>
      <c r="Q59" s="112" t="str">
        <f>IFERROR((VLOOKUP(D59,'1066'!$A$2:$B$1225,2,0)),"")</f>
        <v/>
      </c>
      <c r="R59" s="7" t="str">
        <f t="shared" si="13"/>
        <v/>
      </c>
      <c r="S59" s="50"/>
      <c r="T59" s="112" t="str">
        <f t="shared" si="12"/>
        <v/>
      </c>
      <c r="U59" s="7" t="str">
        <f t="shared" si="14"/>
        <v/>
      </c>
      <c r="V59" s="112" t="str">
        <f>IFERROR(((100-$F$17)/100*T59),"")</f>
        <v/>
      </c>
      <c r="W59" s="131" t="str">
        <f t="shared" si="15"/>
        <v/>
      </c>
    </row>
    <row r="60" spans="1:23" x14ac:dyDescent="0.25">
      <c r="A60" s="7"/>
      <c r="B60" s="111" t="str">
        <f>IFERROR((Sestava2!$AQ$27),"")</f>
        <v/>
      </c>
      <c r="C60" s="7"/>
      <c r="D60" s="50" t="str">
        <f>IFERROR((VLOOKUP(B60,Vkarty!$A$3:$D$500,3,0)),"")</f>
        <v/>
      </c>
      <c r="E60" s="358" t="str">
        <f>IFERROR((VLOOKUP(B60,Vkarty!$A$3:$D$500,4,0)),"")</f>
        <v/>
      </c>
      <c r="F60" s="358"/>
      <c r="G60" s="358"/>
      <c r="H60" s="358"/>
      <c r="I60" s="358"/>
      <c r="J60" s="358"/>
      <c r="K60" s="358"/>
      <c r="L60" s="358"/>
      <c r="M60" s="358"/>
      <c r="N60" s="358"/>
      <c r="O60" s="50">
        <f>Sestava2!$G$27*Sestava2!$G$130</f>
        <v>0</v>
      </c>
      <c r="P60" s="50"/>
      <c r="Q60" s="112" t="str">
        <f>IFERROR((VLOOKUP(D60,'1066'!$A$2:$B$1225,2,0)),"")</f>
        <v/>
      </c>
      <c r="R60" s="7" t="str">
        <f t="shared" si="13"/>
        <v/>
      </c>
      <c r="S60" s="50"/>
      <c r="T60" s="112" t="str">
        <f t="shared" si="12"/>
        <v/>
      </c>
      <c r="U60" s="7" t="str">
        <f t="shared" si="14"/>
        <v/>
      </c>
      <c r="V60" s="112" t="str">
        <f>IFERROR(((100-$F$17)/100*T60),"")</f>
        <v/>
      </c>
      <c r="W60" s="131" t="str">
        <f t="shared" si="15"/>
        <v/>
      </c>
    </row>
    <row r="61" spans="1:23" x14ac:dyDescent="0.25">
      <c r="A61" s="7"/>
      <c r="B61" s="111" t="str">
        <f>IFERROR((Sestava2!$AM$119),"")</f>
        <v/>
      </c>
      <c r="C61" s="7"/>
      <c r="D61" s="50" t="str">
        <f>IFERROR((VLOOKUP(B61,Vkarty!$A$3:$D$500,3,0)),"")</f>
        <v/>
      </c>
      <c r="E61" s="358" t="str">
        <f>IFERROR((VLOOKUP(B61,Vkarty!$A$3:$D$500,4,0)),"")</f>
        <v/>
      </c>
      <c r="F61" s="358"/>
      <c r="G61" s="358"/>
      <c r="H61" s="358"/>
      <c r="I61" s="358"/>
      <c r="J61" s="358"/>
      <c r="K61" s="358"/>
      <c r="L61" s="358"/>
      <c r="M61" s="358"/>
      <c r="N61" s="358"/>
      <c r="O61" s="50">
        <f>Sestava2!$G$130</f>
        <v>0</v>
      </c>
      <c r="P61" s="50"/>
      <c r="Q61" s="112" t="str">
        <f>IFERROR((VLOOKUP(D61,'1066'!$A$2:$B$1225,2,0)),"")</f>
        <v/>
      </c>
      <c r="R61" s="7" t="str">
        <f t="shared" si="13"/>
        <v/>
      </c>
      <c r="S61" s="50"/>
      <c r="T61" s="112" t="str">
        <f t="shared" si="12"/>
        <v/>
      </c>
      <c r="U61" s="7" t="str">
        <f t="shared" si="14"/>
        <v/>
      </c>
      <c r="V61" s="112" t="str">
        <f t="shared" ref="V61:V63" si="16">IFERROR(((100-$F$17)/100*T61),"")</f>
        <v/>
      </c>
      <c r="W61" s="131" t="str">
        <f t="shared" si="15"/>
        <v/>
      </c>
    </row>
    <row r="62" spans="1:23" x14ac:dyDescent="0.25">
      <c r="A62" s="7"/>
      <c r="B62" s="104" t="str">
        <f>IFERROR((VLOOKUP(Sestava2!$G$112,Produkty!$B$157:$C$225,2,0)),"")</f>
        <v/>
      </c>
      <c r="C62" s="7"/>
      <c r="D62" s="50" t="str">
        <f>IFERROR((VLOOKUP(B62,Vkarty!$A$3:$D$500,3,0)),"")</f>
        <v/>
      </c>
      <c r="E62" s="358" t="str">
        <f>IFERROR((VLOOKUP(B62,Vkarty!$A$3:$D$500,4,0)),"")</f>
        <v/>
      </c>
      <c r="F62" s="358"/>
      <c r="G62" s="358"/>
      <c r="H62" s="358"/>
      <c r="I62" s="358"/>
      <c r="J62" s="358"/>
      <c r="K62" s="358"/>
      <c r="L62" s="358"/>
      <c r="M62" s="358"/>
      <c r="N62" s="358"/>
      <c r="O62" s="50">
        <f>IF(Sestava2!$W$112="",1,Sestava2!$W$112)*Sestava2!$G$130</f>
        <v>0</v>
      </c>
      <c r="P62" s="50"/>
      <c r="Q62" s="112" t="str">
        <f>IFERROR((VLOOKUP(D62,'1066'!$A$2:$B$1225,2,0)),"")</f>
        <v/>
      </c>
      <c r="R62" s="7" t="str">
        <f t="shared" si="13"/>
        <v/>
      </c>
      <c r="S62" s="50"/>
      <c r="T62" s="112" t="str">
        <f t="shared" si="12"/>
        <v/>
      </c>
      <c r="U62" s="7" t="str">
        <f t="shared" si="14"/>
        <v/>
      </c>
      <c r="V62" s="112" t="str">
        <f t="shared" si="16"/>
        <v/>
      </c>
      <c r="W62" s="131" t="str">
        <f t="shared" si="15"/>
        <v/>
      </c>
    </row>
    <row r="63" spans="1:23" x14ac:dyDescent="0.25">
      <c r="A63" s="7"/>
      <c r="B63" s="101" t="str">
        <f>IFERROR((VLOOKUP(Sestava2!$G$114,Produkty!$B$214:$C$231,2,0)),"")</f>
        <v/>
      </c>
      <c r="C63" s="7"/>
      <c r="D63" s="50" t="str">
        <f>IFERROR((VLOOKUP(B63,Vkarty!$A$3:$D$500,3,0)),"")</f>
        <v/>
      </c>
      <c r="E63" s="358" t="str">
        <f>IFERROR((VLOOKUP(B63,Vkarty!$A$3:$D$500,4,0)),"")</f>
        <v/>
      </c>
      <c r="F63" s="358"/>
      <c r="G63" s="358"/>
      <c r="H63" s="358"/>
      <c r="I63" s="358"/>
      <c r="J63" s="358"/>
      <c r="K63" s="358"/>
      <c r="L63" s="358"/>
      <c r="M63" s="358"/>
      <c r="N63" s="358"/>
      <c r="O63" s="102">
        <f>IF(Sestava2!$W$114=Překlady!$C$97,1,IF(Sestava2!$W$114=Překlady!$C$98,2,0))*Sestava2!$G$130</f>
        <v>0</v>
      </c>
      <c r="P63" s="50"/>
      <c r="Q63" s="112" t="str">
        <f>IFERROR((VLOOKUP(D63,'1066'!$A$2:$B$1225,2,0)),"")</f>
        <v/>
      </c>
      <c r="R63" s="7" t="str">
        <f t="shared" si="13"/>
        <v/>
      </c>
      <c r="S63" s="50"/>
      <c r="T63" s="112" t="str">
        <f t="shared" si="12"/>
        <v/>
      </c>
      <c r="U63" s="7" t="str">
        <f>IF(T63&lt;&gt;"",$Z$2,"")</f>
        <v/>
      </c>
      <c r="V63" s="112" t="str">
        <f t="shared" si="16"/>
        <v/>
      </c>
      <c r="W63" s="131" t="str">
        <f t="shared" si="15"/>
        <v/>
      </c>
    </row>
    <row r="64" spans="1:23" x14ac:dyDescent="0.25">
      <c r="A64" s="7"/>
      <c r="B64" s="10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112"/>
      <c r="R64" s="7"/>
      <c r="S64" s="7"/>
      <c r="T64" s="112"/>
      <c r="U64" s="7"/>
      <c r="V64" s="112"/>
      <c r="W64" s="97"/>
    </row>
    <row r="65" spans="1:23" x14ac:dyDescent="0.25">
      <c r="A65" s="7"/>
      <c r="B65" s="111" t="str">
        <f>IF(Ses2_pom!$C$29&gt;0,Ses2_pom!$E$30,"")</f>
        <v/>
      </c>
      <c r="C65" s="7"/>
      <c r="D65" s="50" t="str">
        <f>IFERROR((VLOOKUP(B65,Vkarty!$A$3:$D$500,3,0)),"")</f>
        <v/>
      </c>
      <c r="E65" s="358" t="str">
        <f>IFERROR((VLOOKUP(B65,Vkarty!$A$3:$D$500,4,0)),"")</f>
        <v/>
      </c>
      <c r="F65" s="358"/>
      <c r="G65" s="358"/>
      <c r="H65" s="358"/>
      <c r="I65" s="358"/>
      <c r="J65" s="358"/>
      <c r="K65" s="358"/>
      <c r="L65" s="358"/>
      <c r="M65" s="358"/>
      <c r="N65" s="358"/>
      <c r="O65" s="50">
        <f>IF(Ses2_pom!$C$29&gt;0,Ses2_pom!$F$30,0)*Sestava2!$G$130</f>
        <v>0</v>
      </c>
      <c r="P65" s="7"/>
      <c r="Q65" s="112" t="str">
        <f>IFERROR((VLOOKUP(D65,'1066'!$A$2:$B$1225,2,0)),"")</f>
        <v/>
      </c>
      <c r="R65" s="7" t="str">
        <f t="shared" ref="R65:R68" si="17">IF(Q65&lt;&gt;"",$Z$2,"")</f>
        <v/>
      </c>
      <c r="S65" s="7"/>
      <c r="T65" s="112" t="str">
        <f>IFERROR((O65*Q65),"")</f>
        <v/>
      </c>
      <c r="U65" s="7" t="str">
        <f t="shared" ref="U65:U68" si="18">IF(T65&lt;&gt;"",$Z$2,"")</f>
        <v/>
      </c>
      <c r="V65" s="112" t="str">
        <f>IFERROR(((100-$F$17)/100*T65),"")</f>
        <v/>
      </c>
      <c r="W65" s="131" t="str">
        <f t="shared" ref="W65:W68" si="19">IF(V65&lt;&gt;"",$Z$2,"")</f>
        <v/>
      </c>
    </row>
    <row r="66" spans="1:23" x14ac:dyDescent="0.25">
      <c r="A66" s="7"/>
      <c r="B66" s="111" t="str">
        <f>IF(Ses2_pom!$C$29&gt;1,Ses2_pom!$E$31,"")</f>
        <v/>
      </c>
      <c r="C66" s="7"/>
      <c r="D66" s="50" t="str">
        <f>IFERROR((VLOOKUP(B66,Vkarty!$A$3:$D$500,3,0)),"")</f>
        <v/>
      </c>
      <c r="E66" s="358" t="str">
        <f>IFERROR((VLOOKUP(B66,Vkarty!$A$3:$D$500,4,0)),"")</f>
        <v/>
      </c>
      <c r="F66" s="358"/>
      <c r="G66" s="358"/>
      <c r="H66" s="358"/>
      <c r="I66" s="358"/>
      <c r="J66" s="358"/>
      <c r="K66" s="358"/>
      <c r="L66" s="358"/>
      <c r="M66" s="358"/>
      <c r="N66" s="358"/>
      <c r="O66" s="50">
        <f>IF(Ses2_pom!$C$29&gt;1,Ses2_pom!$F$31,0)*Sestava2!$G$130</f>
        <v>0</v>
      </c>
      <c r="P66" s="7"/>
      <c r="Q66" s="112" t="str">
        <f>IFERROR((VLOOKUP(D66,'1066'!$A$2:$B$1225,2,0)),"")</f>
        <v/>
      </c>
      <c r="R66" s="7" t="str">
        <f t="shared" si="17"/>
        <v/>
      </c>
      <c r="S66" s="7"/>
      <c r="T66" s="112" t="str">
        <f>IFERROR((O66*Q66),"")</f>
        <v/>
      </c>
      <c r="U66" s="7" t="str">
        <f t="shared" si="18"/>
        <v/>
      </c>
      <c r="V66" s="112" t="str">
        <f t="shared" ref="V66:V68" si="20">IFERROR(((100-$F$17)/100*T66),"")</f>
        <v/>
      </c>
      <c r="W66" s="131" t="str">
        <f t="shared" si="19"/>
        <v/>
      </c>
    </row>
    <row r="67" spans="1:23" x14ac:dyDescent="0.25">
      <c r="A67" s="7"/>
      <c r="B67" s="111" t="str">
        <f>IF(Ses2_pom!$C$29&gt;2,Ses2_pom!$E$32,"")</f>
        <v/>
      </c>
      <c r="C67" s="7"/>
      <c r="D67" s="50" t="str">
        <f>IFERROR((VLOOKUP(B67,Vkarty!$A$3:$D$500,3,0)),"")</f>
        <v/>
      </c>
      <c r="E67" s="358" t="str">
        <f>IFERROR((VLOOKUP(B67,Vkarty!$A$3:$D$500,4,0)),"")</f>
        <v/>
      </c>
      <c r="F67" s="358"/>
      <c r="G67" s="358"/>
      <c r="H67" s="358"/>
      <c r="I67" s="358"/>
      <c r="J67" s="358"/>
      <c r="K67" s="358"/>
      <c r="L67" s="358"/>
      <c r="M67" s="358"/>
      <c r="N67" s="358"/>
      <c r="O67" s="50">
        <f>IF(Ses2_pom!$C$29&gt;2,Ses2_pom!$F$32,0)*Sestava2!$G$130</f>
        <v>0</v>
      </c>
      <c r="P67" s="7"/>
      <c r="Q67" s="112" t="str">
        <f>IFERROR((VLOOKUP(D67,'1066'!$A$2:$B$1225,2,0)),"")</f>
        <v/>
      </c>
      <c r="R67" s="7" t="str">
        <f t="shared" si="17"/>
        <v/>
      </c>
      <c r="S67" s="7"/>
      <c r="T67" s="112" t="str">
        <f>IFERROR((O67*Q67),"")</f>
        <v/>
      </c>
      <c r="U67" s="7" t="str">
        <f t="shared" si="18"/>
        <v/>
      </c>
      <c r="V67" s="112" t="str">
        <f t="shared" si="20"/>
        <v/>
      </c>
      <c r="W67" s="131" t="str">
        <f t="shared" si="19"/>
        <v/>
      </c>
    </row>
    <row r="68" spans="1:23" x14ac:dyDescent="0.25">
      <c r="A68" s="7"/>
      <c r="B68" s="111" t="str">
        <f>IF(Ses2_pom!$C$29&gt;3,Ses2_pom!$E$33,"")</f>
        <v/>
      </c>
      <c r="C68" s="7"/>
      <c r="D68" s="50" t="str">
        <f>IFERROR((VLOOKUP(B68,Vkarty!$A$3:$D$500,3,0)),"")</f>
        <v/>
      </c>
      <c r="E68" s="358" t="str">
        <f>IFERROR((VLOOKUP(B68,Vkarty!$A$3:$D$500,4,0)),"")</f>
        <v/>
      </c>
      <c r="F68" s="358"/>
      <c r="G68" s="358"/>
      <c r="H68" s="358"/>
      <c r="I68" s="358"/>
      <c r="J68" s="358"/>
      <c r="K68" s="358"/>
      <c r="L68" s="358"/>
      <c r="M68" s="358"/>
      <c r="N68" s="358"/>
      <c r="O68" s="50">
        <f>IF(Ses2_pom!$C$29&gt;3,Ses2_pom!$F$33,0)*Sestava2!$G$130</f>
        <v>0</v>
      </c>
      <c r="P68" s="7"/>
      <c r="Q68" s="112" t="str">
        <f>IFERROR((VLOOKUP(D68,'1066'!$A$2:$B$1225,2,0)),"")</f>
        <v/>
      </c>
      <c r="R68" s="7" t="str">
        <f t="shared" si="17"/>
        <v/>
      </c>
      <c r="S68" s="7"/>
      <c r="T68" s="112" t="str">
        <f>IFERROR((O68*Q68),"")</f>
        <v/>
      </c>
      <c r="U68" s="7" t="str">
        <f t="shared" si="18"/>
        <v/>
      </c>
      <c r="V68" s="112" t="str">
        <f t="shared" si="20"/>
        <v/>
      </c>
      <c r="W68" s="131" t="str">
        <f t="shared" si="19"/>
        <v/>
      </c>
    </row>
    <row r="69" spans="1:23" x14ac:dyDescent="0.25">
      <c r="A69" s="7"/>
      <c r="B69" s="104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112"/>
      <c r="R69" s="7"/>
      <c r="S69" s="7"/>
      <c r="T69" s="112"/>
      <c r="U69" s="7"/>
      <c r="V69" s="112"/>
      <c r="W69" s="97"/>
    </row>
    <row r="70" spans="1:23" x14ac:dyDescent="0.25">
      <c r="A70" s="7"/>
      <c r="B70" s="10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112"/>
      <c r="R70" s="7"/>
      <c r="S70" s="7"/>
      <c r="T70" s="19"/>
      <c r="U70" s="7"/>
      <c r="V70" s="112"/>
      <c r="W70" s="97"/>
    </row>
    <row r="71" spans="1:23" x14ac:dyDescent="0.25">
      <c r="A71" s="7"/>
      <c r="B71" s="111" t="str">
        <f>IF(Sestava2!$G$69=Překlady!$C$15,"391584","")</f>
        <v/>
      </c>
      <c r="C71" s="7"/>
      <c r="D71" s="7"/>
      <c r="E71" s="7" t="str">
        <f>IF(Sestava2!$G$69=Překlady!$C$15,Poplatky!$C$8,"")</f>
        <v/>
      </c>
      <c r="F71" s="7"/>
      <c r="G71" s="7"/>
      <c r="H71" s="7"/>
      <c r="I71" s="7"/>
      <c r="J71" s="7"/>
      <c r="K71" s="7"/>
      <c r="L71" s="7"/>
      <c r="M71" s="7"/>
      <c r="N71" s="7"/>
      <c r="O71" s="50">
        <f>IF(Sestava2!$G$69=Překlady!$C$15,Ses2_pom!$E$23,0)*Sestava2!$G$130</f>
        <v>0</v>
      </c>
      <c r="P71" s="7"/>
      <c r="Q71" s="112" t="str">
        <f>IF(Sestava2!$G$69=Překlady!$C$15,Poplatky!$J$8,"")</f>
        <v/>
      </c>
      <c r="R71" s="7" t="str">
        <f t="shared" ref="R71:R73" si="21">IF(Q71&lt;&gt;"",$Z$2,"")</f>
        <v/>
      </c>
      <c r="S71" s="7"/>
      <c r="T71" s="112" t="str">
        <f>IFERROR((O71*Q71),"")</f>
        <v/>
      </c>
      <c r="U71" s="7" t="str">
        <f t="shared" ref="U71:U73" si="22">IF(T71&lt;&gt;"",$Z$2,"")</f>
        <v/>
      </c>
      <c r="V71" s="112" t="str">
        <f>T71</f>
        <v/>
      </c>
      <c r="W71" s="131" t="str">
        <f t="shared" ref="W71:W73" si="23">IF(V71&lt;&gt;"",$Z$2,"")</f>
        <v/>
      </c>
    </row>
    <row r="72" spans="1:23" x14ac:dyDescent="0.25">
      <c r="A72" s="7"/>
      <c r="B72" s="111" t="str">
        <f>IF(Sestava2!$G$130="","",208204)</f>
        <v/>
      </c>
      <c r="C72" s="7"/>
      <c r="D72" s="7"/>
      <c r="E72" s="7" t="str">
        <f>IF(Sestava2!$G$130="","",Poplatky!$C$6)</f>
        <v/>
      </c>
      <c r="F72" s="7"/>
      <c r="G72" s="7"/>
      <c r="H72" s="7"/>
      <c r="I72" s="7"/>
      <c r="J72" s="7"/>
      <c r="K72" s="7"/>
      <c r="L72" s="7"/>
      <c r="M72" s="7"/>
      <c r="N72" s="7"/>
      <c r="O72" s="50" t="str">
        <f>IFERROR((Ses2_pom!$F$23*Sestava2!$G$130),"")</f>
        <v/>
      </c>
      <c r="P72" s="7"/>
      <c r="Q72" s="112" t="str">
        <f>IF(Sestava2!$G$130="","",Poplatky!$J$6)</f>
        <v/>
      </c>
      <c r="R72" s="7" t="str">
        <f t="shared" si="21"/>
        <v/>
      </c>
      <c r="S72" s="7"/>
      <c r="T72" s="112" t="str">
        <f>IFERROR((O72*Q72),"")</f>
        <v/>
      </c>
      <c r="U72" s="7" t="str">
        <f t="shared" si="22"/>
        <v/>
      </c>
      <c r="V72" s="112" t="str">
        <f>T72</f>
        <v/>
      </c>
      <c r="W72" s="131" t="str">
        <f t="shared" si="23"/>
        <v/>
      </c>
    </row>
    <row r="73" spans="1:23" x14ac:dyDescent="0.25">
      <c r="A73" s="7"/>
      <c r="B73" s="111" t="str">
        <f>IF(Sestava2!$G$130="","",208203)</f>
        <v/>
      </c>
      <c r="C73" s="7"/>
      <c r="D73" s="7"/>
      <c r="E73" s="7" t="str">
        <f>IF(Sestava2!$G$130="","",Poplatky!$C$7)</f>
        <v/>
      </c>
      <c r="F73" s="7"/>
      <c r="G73" s="7"/>
      <c r="H73" s="7"/>
      <c r="I73" s="7"/>
      <c r="J73" s="7"/>
      <c r="K73" s="7"/>
      <c r="L73" s="7"/>
      <c r="M73" s="7"/>
      <c r="N73" s="7"/>
      <c r="O73" s="50">
        <f>Sestava2!$G$130</f>
        <v>0</v>
      </c>
      <c r="P73" s="7"/>
      <c r="Q73" s="112" t="str">
        <f>IF(Sestava2!$G$130="","",Poplatky!$J$7)</f>
        <v/>
      </c>
      <c r="R73" s="7" t="str">
        <f t="shared" si="21"/>
        <v/>
      </c>
      <c r="S73" s="7"/>
      <c r="T73" s="112" t="str">
        <f>IFERROR((O73*Q73),"")</f>
        <v/>
      </c>
      <c r="U73" s="7" t="str">
        <f t="shared" si="22"/>
        <v/>
      </c>
      <c r="V73" s="112" t="str">
        <f>T73</f>
        <v/>
      </c>
      <c r="W73" s="131" t="str">
        <f t="shared" si="23"/>
        <v/>
      </c>
    </row>
    <row r="74" spans="1:23" x14ac:dyDescent="0.25">
      <c r="A74" s="7"/>
      <c r="B74" s="1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19"/>
      <c r="U74" s="7"/>
      <c r="V74" s="19"/>
      <c r="W74" s="97"/>
    </row>
    <row r="75" spans="1:23" x14ac:dyDescent="0.25">
      <c r="A75" s="7"/>
      <c r="B75" s="10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9"/>
      <c r="W75" s="97"/>
    </row>
    <row r="76" spans="1:23" ht="29.45" customHeight="1" x14ac:dyDescent="0.25">
      <c r="A76" s="7"/>
      <c r="B76" s="10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359" t="str">
        <f>Překlady!$C$133&amp;"2:"</f>
        <v>Celková cena za Sestavu 2:</v>
      </c>
      <c r="S76" s="359"/>
      <c r="T76" s="359"/>
      <c r="U76" s="113"/>
      <c r="V76" s="116">
        <f>SUM(V57:V73)</f>
        <v>0</v>
      </c>
      <c r="W76" s="132" t="str">
        <f t="shared" ref="W76" si="24">IF(V76&lt;&gt;"",$Z$2,"")</f>
        <v>Kč</v>
      </c>
    </row>
    <row r="77" spans="1:23" x14ac:dyDescent="0.25">
      <c r="A77" s="7"/>
      <c r="B77" s="1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19"/>
      <c r="U77" s="7"/>
      <c r="V77" s="19"/>
      <c r="W77" s="97"/>
    </row>
    <row r="78" spans="1:23" ht="15.75" thickBot="1" x14ac:dyDescent="0.3">
      <c r="A78" s="7"/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100"/>
    </row>
    <row r="79" spans="1:23" ht="15.75" thickBo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8.75" x14ac:dyDescent="0.25">
      <c r="A80" s="7"/>
      <c r="B80" s="360" t="str">
        <f>Překlady!$C$11&amp;" 3"</f>
        <v>Sestava 3</v>
      </c>
      <c r="C80" s="361"/>
      <c r="D80" s="361"/>
      <c r="E80" s="139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4"/>
    </row>
    <row r="81" spans="1:23" ht="18.75" x14ac:dyDescent="0.25">
      <c r="A81" s="7"/>
      <c r="B81" s="362"/>
      <c r="C81" s="211"/>
      <c r="D81" s="211"/>
      <c r="E81" s="51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97"/>
    </row>
    <row r="82" spans="1:23" ht="14.45" customHeight="1" x14ac:dyDescent="0.25">
      <c r="A82" s="7"/>
      <c r="B82" s="101"/>
      <c r="C82" s="7"/>
      <c r="D82" s="7"/>
      <c r="E82" s="22"/>
      <c r="F82" s="7"/>
      <c r="G82" s="7"/>
      <c r="H82" s="7"/>
      <c r="I82" s="7"/>
      <c r="J82" s="7"/>
      <c r="K82" s="7"/>
      <c r="L82" s="7"/>
      <c r="M82" s="50"/>
      <c r="N82" s="50"/>
      <c r="O82" s="102"/>
      <c r="P82" s="50"/>
      <c r="Q82" s="50"/>
      <c r="R82" s="50"/>
      <c r="S82" s="50"/>
      <c r="T82" s="50"/>
      <c r="U82" s="50"/>
      <c r="V82" s="50"/>
      <c r="W82" s="103"/>
    </row>
    <row r="83" spans="1:23" ht="14.45" customHeight="1" thickBot="1" x14ac:dyDescent="0.3">
      <c r="A83" s="7"/>
      <c r="B83" s="104"/>
      <c r="C83" s="7"/>
      <c r="D83" s="7"/>
      <c r="E83" s="7"/>
      <c r="F83" s="7"/>
      <c r="G83" s="7"/>
      <c r="H83" s="7"/>
      <c r="I83" s="7"/>
      <c r="J83" s="7"/>
      <c r="K83" s="7"/>
      <c r="L83" s="7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103"/>
    </row>
    <row r="84" spans="1:23" ht="15.75" x14ac:dyDescent="0.25">
      <c r="A84" s="7"/>
      <c r="B84" s="105" t="str">
        <f>Překlady!$C$111</f>
        <v>Kód:</v>
      </c>
      <c r="C84" s="106"/>
      <c r="D84" s="106" t="str">
        <f>Překlady!$C$122</f>
        <v>Dodací kód:</v>
      </c>
      <c r="E84" s="107" t="str">
        <f>Překlady!$C$112</f>
        <v>Název:</v>
      </c>
      <c r="F84" s="106"/>
      <c r="G84" s="106"/>
      <c r="H84" s="106"/>
      <c r="I84" s="106"/>
      <c r="J84" s="106"/>
      <c r="K84" s="106"/>
      <c r="L84" s="106"/>
      <c r="M84" s="108"/>
      <c r="N84" s="109"/>
      <c r="O84" s="108" t="str">
        <f>Překlady!$C$119</f>
        <v>Množství:</v>
      </c>
      <c r="P84" s="109"/>
      <c r="Q84" s="108" t="str">
        <f>Překlady!$C$114</f>
        <v>Cena/ks:</v>
      </c>
      <c r="R84" s="106"/>
      <c r="S84" s="109"/>
      <c r="T84" s="108" t="str">
        <f>Překlady!$C$115</f>
        <v>Cena celkem:</v>
      </c>
      <c r="U84" s="109"/>
      <c r="V84" s="108" t="str">
        <f>Překlady!$C$117</f>
        <v>Cena po slevě:</v>
      </c>
      <c r="W84" s="110"/>
    </row>
    <row r="85" spans="1:23" ht="15.75" x14ac:dyDescent="0.25">
      <c r="A85" s="7"/>
      <c r="B85" s="10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142"/>
      <c r="U85" s="7"/>
      <c r="V85" s="143"/>
      <c r="W85" s="97"/>
    </row>
    <row r="86" spans="1:23" x14ac:dyDescent="0.25">
      <c r="A86" s="7"/>
      <c r="B86" s="111" t="str">
        <f>IFERROR((TRIM(Sestava3!$AQ$22)),"")</f>
        <v/>
      </c>
      <c r="C86" s="7"/>
      <c r="D86" s="50" t="str">
        <f>IFERROR((VLOOKUP(B86,Vkarty!$A$3:$D$500,3,0)),"")</f>
        <v/>
      </c>
      <c r="E86" s="358" t="str">
        <f>IFERROR((VLOOKUP(B86,Vkarty!$A$3:$D$500,4,0)),"")</f>
        <v/>
      </c>
      <c r="F86" s="358"/>
      <c r="G86" s="358"/>
      <c r="H86" s="358"/>
      <c r="I86" s="358"/>
      <c r="J86" s="358"/>
      <c r="K86" s="358"/>
      <c r="L86" s="358"/>
      <c r="M86" s="358"/>
      <c r="N86" s="358"/>
      <c r="O86" s="50">
        <f>Sestava3!$G$23*Sestava3!$G$130</f>
        <v>0</v>
      </c>
      <c r="P86" s="50"/>
      <c r="Q86" s="112" t="str">
        <f>IFERROR((VLOOKUP(D86,'1066'!$A$2:$B$1225,2,0)),"")</f>
        <v/>
      </c>
      <c r="R86" s="7" t="str">
        <f>IF(Q86&lt;&gt;"",$Z$2,"")</f>
        <v/>
      </c>
      <c r="S86" s="50"/>
      <c r="T86" s="112" t="str">
        <f t="shared" ref="T86:T92" si="25">IFERROR((O86*Q86),"")</f>
        <v/>
      </c>
      <c r="U86" s="7" t="str">
        <f>IF(T86&lt;&gt;"",$Z$2,"")</f>
        <v/>
      </c>
      <c r="V86" s="112" t="str">
        <f>IFERROR(((100-$F$17)/100*T86),"")</f>
        <v/>
      </c>
      <c r="W86" s="131" t="str">
        <f>IF(V86&lt;&gt;"",$Z$2,"")</f>
        <v/>
      </c>
    </row>
    <row r="87" spans="1:23" x14ac:dyDescent="0.25">
      <c r="A87" s="7"/>
      <c r="B87" s="111" t="str">
        <f>IFERROR((Sestava3!$AQ$25),"")</f>
        <v/>
      </c>
      <c r="C87" s="7"/>
      <c r="D87" s="50" t="str">
        <f>IFERROR((VLOOKUP(B87,Vkarty!$A$3:$D$500,3,0)),"")</f>
        <v/>
      </c>
      <c r="E87" s="358" t="str">
        <f>IFERROR((VLOOKUP(B87,Vkarty!$A$3:$D$500,4,0)),"")</f>
        <v/>
      </c>
      <c r="F87" s="358"/>
      <c r="G87" s="358"/>
      <c r="H87" s="358"/>
      <c r="I87" s="358"/>
      <c r="J87" s="358"/>
      <c r="K87" s="358"/>
      <c r="L87" s="358"/>
      <c r="M87" s="358"/>
      <c r="N87" s="358"/>
      <c r="O87" s="50">
        <f>Sestava3!$G$36*Sestava3!$G$130</f>
        <v>0</v>
      </c>
      <c r="P87" s="50"/>
      <c r="Q87" s="112" t="str">
        <f>IFERROR((VLOOKUP(D87,'1066'!$A$2:$B$1225,2,0)),"")</f>
        <v/>
      </c>
      <c r="R87" s="7" t="str">
        <f t="shared" ref="R87:R92" si="26">IF(Q87&lt;&gt;"",$Z$2,"")</f>
        <v/>
      </c>
      <c r="S87" s="50"/>
      <c r="T87" s="112" t="str">
        <f t="shared" si="25"/>
        <v/>
      </c>
      <c r="U87" s="7" t="str">
        <f t="shared" ref="U87:U91" si="27">IF(T87&lt;&gt;"",$Z$2,"")</f>
        <v/>
      </c>
      <c r="V87" s="112" t="str">
        <f>IFERROR(((100-F75)/100*T87),"")</f>
        <v/>
      </c>
      <c r="W87" s="131" t="str">
        <f t="shared" ref="W87:W92" si="28">IF(V87&lt;&gt;"",$Z$2,"")</f>
        <v/>
      </c>
    </row>
    <row r="88" spans="1:23" x14ac:dyDescent="0.25">
      <c r="A88" s="7"/>
      <c r="B88" s="111" t="str">
        <f>IFERROR((Sestava3!$AN$101),"")</f>
        <v/>
      </c>
      <c r="C88" s="7"/>
      <c r="D88" s="50" t="str">
        <f>IFERROR((VLOOKUP(B88,Vkarty!$A$3:$D$500,3,0)),"")</f>
        <v/>
      </c>
      <c r="E88" s="358" t="str">
        <f>IFERROR((VLOOKUP(B88,Vkarty!$A$3:$D$500,4,0)),"")</f>
        <v/>
      </c>
      <c r="F88" s="358"/>
      <c r="G88" s="358"/>
      <c r="H88" s="358"/>
      <c r="I88" s="358"/>
      <c r="J88" s="358"/>
      <c r="K88" s="358"/>
      <c r="L88" s="358"/>
      <c r="M88" s="358"/>
      <c r="N88" s="358"/>
      <c r="O88" s="50">
        <f>CEILING((Sestava3!$I$72+Sestava3!$I$73+Sestava3!$O$72+Sestava3!$O$73)/1000,1)*Sestava3!$G$130</f>
        <v>0</v>
      </c>
      <c r="P88" s="50"/>
      <c r="Q88" s="112" t="str">
        <f>IFERROR((VLOOKUP(D88,'1066'!$A$2:$B$1225,2,0)),"")</f>
        <v/>
      </c>
      <c r="R88" s="7" t="str">
        <f t="shared" si="26"/>
        <v/>
      </c>
      <c r="S88" s="50"/>
      <c r="T88" s="112" t="str">
        <f t="shared" si="25"/>
        <v/>
      </c>
      <c r="U88" s="7" t="str">
        <f t="shared" si="27"/>
        <v/>
      </c>
      <c r="V88" s="112" t="str">
        <f>IFERROR(((100-$F$17)/100*T88),"")</f>
        <v/>
      </c>
      <c r="W88" s="131" t="str">
        <f t="shared" si="28"/>
        <v/>
      </c>
    </row>
    <row r="89" spans="1:23" x14ac:dyDescent="0.25">
      <c r="A89" s="7"/>
      <c r="B89" s="111" t="str">
        <f>IFERROR((Sestava3!$AQ$27),"")</f>
        <v/>
      </c>
      <c r="C89" s="7"/>
      <c r="D89" s="50" t="str">
        <f>IFERROR((VLOOKUP(B89,Vkarty!$A$3:$D$500,3,0)),"")</f>
        <v/>
      </c>
      <c r="E89" s="358" t="str">
        <f>IFERROR((VLOOKUP(B89,Vkarty!$A$3:$D$500,4,0)),"")</f>
        <v/>
      </c>
      <c r="F89" s="358"/>
      <c r="G89" s="358"/>
      <c r="H89" s="358"/>
      <c r="I89" s="358"/>
      <c r="J89" s="358"/>
      <c r="K89" s="358"/>
      <c r="L89" s="358"/>
      <c r="M89" s="358"/>
      <c r="N89" s="358"/>
      <c r="O89" s="50">
        <f>Sestava3!$G$27*Sestava3!$G$130</f>
        <v>0</v>
      </c>
      <c r="P89" s="50"/>
      <c r="Q89" s="112" t="str">
        <f>IFERROR((VLOOKUP(D89,'1066'!$A$2:$B$1225,2,0)),"")</f>
        <v/>
      </c>
      <c r="R89" s="7" t="str">
        <f t="shared" si="26"/>
        <v/>
      </c>
      <c r="S89" s="50"/>
      <c r="T89" s="112" t="str">
        <f t="shared" si="25"/>
        <v/>
      </c>
      <c r="U89" s="7" t="str">
        <f t="shared" si="27"/>
        <v/>
      </c>
      <c r="V89" s="112" t="str">
        <f>IFERROR(((100-$F$17)/100*T89),"")</f>
        <v/>
      </c>
      <c r="W89" s="131" t="str">
        <f t="shared" si="28"/>
        <v/>
      </c>
    </row>
    <row r="90" spans="1:23" x14ac:dyDescent="0.25">
      <c r="A90" s="7"/>
      <c r="B90" s="111" t="str">
        <f>IFERROR((Sestava3!$AM$119),"")</f>
        <v/>
      </c>
      <c r="C90" s="7"/>
      <c r="D90" s="50" t="str">
        <f>IFERROR((VLOOKUP(B90,Vkarty!$A$3:$D$500,3,0)),"")</f>
        <v/>
      </c>
      <c r="E90" s="358" t="str">
        <f>IFERROR((VLOOKUP(B90,Vkarty!$A$3:$D$500,4,0)),"")</f>
        <v/>
      </c>
      <c r="F90" s="358"/>
      <c r="G90" s="358"/>
      <c r="H90" s="358"/>
      <c r="I90" s="358"/>
      <c r="J90" s="358"/>
      <c r="K90" s="358"/>
      <c r="L90" s="358"/>
      <c r="M90" s="358"/>
      <c r="N90" s="358"/>
      <c r="O90" s="50">
        <f>Sestava3!$G$130</f>
        <v>0</v>
      </c>
      <c r="P90" s="50"/>
      <c r="Q90" s="112" t="str">
        <f>IFERROR((VLOOKUP(D90,'1066'!$A$2:$B$1225,2,0)),"")</f>
        <v/>
      </c>
      <c r="R90" s="7" t="str">
        <f t="shared" si="26"/>
        <v/>
      </c>
      <c r="S90" s="50"/>
      <c r="T90" s="112" t="str">
        <f t="shared" si="25"/>
        <v/>
      </c>
      <c r="U90" s="7" t="str">
        <f t="shared" si="27"/>
        <v/>
      </c>
      <c r="V90" s="112" t="str">
        <f t="shared" ref="V90:V92" si="29">IFERROR(((100-$F$17)/100*T90),"")</f>
        <v/>
      </c>
      <c r="W90" s="131" t="str">
        <f t="shared" si="28"/>
        <v/>
      </c>
    </row>
    <row r="91" spans="1:23" x14ac:dyDescent="0.25">
      <c r="A91" s="7"/>
      <c r="B91" s="104" t="str">
        <f>IFERROR((VLOOKUP(Sestava3!$G$112,Produkty!$B$157:$C$225,2,0)),"")</f>
        <v/>
      </c>
      <c r="C91" s="7"/>
      <c r="D91" s="50" t="str">
        <f>IFERROR((VLOOKUP(B91,Vkarty!$A$3:$D$500,3,0)),"")</f>
        <v/>
      </c>
      <c r="E91" s="358" t="str">
        <f>IFERROR((VLOOKUP(B91,Vkarty!$A$3:$D$500,4,0)),"")</f>
        <v/>
      </c>
      <c r="F91" s="358"/>
      <c r="G91" s="358"/>
      <c r="H91" s="358"/>
      <c r="I91" s="358"/>
      <c r="J91" s="358"/>
      <c r="K91" s="358"/>
      <c r="L91" s="358"/>
      <c r="M91" s="358"/>
      <c r="N91" s="358"/>
      <c r="O91" s="50">
        <f>IF(Sestava3!$W$112="",1,Sestava3!$W$112)*Sestava3!$G$130</f>
        <v>0</v>
      </c>
      <c r="P91" s="50"/>
      <c r="Q91" s="112" t="str">
        <f>IFERROR((VLOOKUP(D91,'1066'!$A$2:$B$1225,2,0)),"")</f>
        <v/>
      </c>
      <c r="R91" s="7" t="str">
        <f t="shared" si="26"/>
        <v/>
      </c>
      <c r="S91" s="50"/>
      <c r="T91" s="112" t="str">
        <f t="shared" si="25"/>
        <v/>
      </c>
      <c r="U91" s="7" t="str">
        <f t="shared" si="27"/>
        <v/>
      </c>
      <c r="V91" s="112" t="str">
        <f t="shared" si="29"/>
        <v/>
      </c>
      <c r="W91" s="131" t="str">
        <f t="shared" si="28"/>
        <v/>
      </c>
    </row>
    <row r="92" spans="1:23" x14ac:dyDescent="0.25">
      <c r="A92" s="7"/>
      <c r="B92" s="101" t="str">
        <f>IFERROR((VLOOKUP(Sestava3!$G$114,Produkty!$B$214:$C$231,2,0)),"")</f>
        <v/>
      </c>
      <c r="C92" s="7"/>
      <c r="D92" s="50" t="str">
        <f>IFERROR((VLOOKUP(B92,Vkarty!$A$3:$D$500,3,0)),"")</f>
        <v/>
      </c>
      <c r="E92" s="358" t="str">
        <f>IFERROR((VLOOKUP(B92,Vkarty!$A$3:$D$500,4,0)),"")</f>
        <v/>
      </c>
      <c r="F92" s="358"/>
      <c r="G92" s="358"/>
      <c r="H92" s="358"/>
      <c r="I92" s="358"/>
      <c r="J92" s="358"/>
      <c r="K92" s="358"/>
      <c r="L92" s="358"/>
      <c r="M92" s="358"/>
      <c r="N92" s="358"/>
      <c r="O92" s="102">
        <f>IF(Sestava3!$W$114=Překlady!$C$97,1,IF(Sestava3!$W$114=Překlady!$C$98,2,0))*Sestava3!$G$130</f>
        <v>0</v>
      </c>
      <c r="P92" s="50"/>
      <c r="Q92" s="112" t="str">
        <f>IFERROR((VLOOKUP(D92,'1066'!$A$2:$B$1225,2,0)),"")</f>
        <v/>
      </c>
      <c r="R92" s="7" t="str">
        <f t="shared" si="26"/>
        <v/>
      </c>
      <c r="S92" s="50"/>
      <c r="T92" s="112" t="str">
        <f t="shared" si="25"/>
        <v/>
      </c>
      <c r="U92" s="7" t="str">
        <f>IF(T92&lt;&gt;"",$Z$2,"")</f>
        <v/>
      </c>
      <c r="V92" s="112" t="str">
        <f t="shared" si="29"/>
        <v/>
      </c>
      <c r="W92" s="131" t="str">
        <f t="shared" si="28"/>
        <v/>
      </c>
    </row>
    <row r="93" spans="1:23" x14ac:dyDescent="0.25">
      <c r="A93" s="7"/>
      <c r="B93" s="10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112"/>
      <c r="R93" s="7"/>
      <c r="S93" s="7"/>
      <c r="T93" s="112"/>
      <c r="U93" s="7"/>
      <c r="V93" s="112"/>
      <c r="W93" s="97"/>
    </row>
    <row r="94" spans="1:23" x14ac:dyDescent="0.25">
      <c r="A94" s="7"/>
      <c r="B94" s="111" t="str">
        <f>IF(Ses3_pom!$C$29&gt;0,Ses3_pom!$E$30,"")</f>
        <v/>
      </c>
      <c r="C94" s="7"/>
      <c r="D94" s="50" t="str">
        <f>IFERROR((VLOOKUP(B94,Vkarty!$A$3:$D$500,3,0)),"")</f>
        <v/>
      </c>
      <c r="E94" s="358" t="str">
        <f>IFERROR((VLOOKUP(B94,Vkarty!$A$3:$D$500,4,0)),"")</f>
        <v/>
      </c>
      <c r="F94" s="358"/>
      <c r="G94" s="358"/>
      <c r="H94" s="358"/>
      <c r="I94" s="358"/>
      <c r="J94" s="358"/>
      <c r="K94" s="358"/>
      <c r="L94" s="358"/>
      <c r="M94" s="358"/>
      <c r="N94" s="358"/>
      <c r="O94" s="50">
        <f>IF(Ses3_pom!$C$29&gt;0,Ses3_pom!$F$30,0)*Sestava3!$G$130</f>
        <v>0</v>
      </c>
      <c r="P94" s="7"/>
      <c r="Q94" s="112" t="str">
        <f>IFERROR((VLOOKUP(D94,'1066'!$A$2:$B$1225,2,0)),"")</f>
        <v/>
      </c>
      <c r="R94" s="7" t="str">
        <f t="shared" ref="R94:R97" si="30">IF(Q94&lt;&gt;"",$Z$2,"")</f>
        <v/>
      </c>
      <c r="S94" s="7"/>
      <c r="T94" s="112" t="str">
        <f>IFERROR((O94*Q94),"")</f>
        <v/>
      </c>
      <c r="U94" s="7" t="str">
        <f t="shared" ref="U94:U97" si="31">IF(T94&lt;&gt;"",$Z$2,"")</f>
        <v/>
      </c>
      <c r="V94" s="112" t="str">
        <f>IFERROR(((100-$F$17)/100*T94),"")</f>
        <v/>
      </c>
      <c r="W94" s="131" t="str">
        <f t="shared" ref="W94:W97" si="32">IF(V94&lt;&gt;"",$Z$2,"")</f>
        <v/>
      </c>
    </row>
    <row r="95" spans="1:23" x14ac:dyDescent="0.25">
      <c r="A95" s="7"/>
      <c r="B95" s="111" t="str">
        <f>IF(Ses3_pom!$C$29&gt;1,Ses3_pom!$E$31,"")</f>
        <v/>
      </c>
      <c r="C95" s="7"/>
      <c r="D95" s="50" t="str">
        <f>IFERROR((VLOOKUP(B95,Vkarty!$A$3:$D$500,3,0)),"")</f>
        <v/>
      </c>
      <c r="E95" s="358" t="str">
        <f>IFERROR((VLOOKUP(B95,Vkarty!$A$3:$D$500,4,0)),"")</f>
        <v/>
      </c>
      <c r="F95" s="358"/>
      <c r="G95" s="358"/>
      <c r="H95" s="358"/>
      <c r="I95" s="358"/>
      <c r="J95" s="358"/>
      <c r="K95" s="358"/>
      <c r="L95" s="358"/>
      <c r="M95" s="358"/>
      <c r="N95" s="358"/>
      <c r="O95" s="50">
        <f>IF(Ses3_pom!$C$29&gt;1,Ses3_pom!$F$31,0)*Sestava3!$G$130</f>
        <v>0</v>
      </c>
      <c r="P95" s="7"/>
      <c r="Q95" s="112" t="str">
        <f>IFERROR((VLOOKUP(D95,'1066'!$A$2:$B$1225,2,0)),"")</f>
        <v/>
      </c>
      <c r="R95" s="7" t="str">
        <f t="shared" si="30"/>
        <v/>
      </c>
      <c r="S95" s="7"/>
      <c r="T95" s="112" t="str">
        <f>IFERROR((O95*Q95),"")</f>
        <v/>
      </c>
      <c r="U95" s="7" t="str">
        <f t="shared" si="31"/>
        <v/>
      </c>
      <c r="V95" s="112" t="str">
        <f t="shared" ref="V95:V97" si="33">IFERROR(((100-$F$17)/100*T95),"")</f>
        <v/>
      </c>
      <c r="W95" s="131" t="str">
        <f t="shared" si="32"/>
        <v/>
      </c>
    </row>
    <row r="96" spans="1:23" x14ac:dyDescent="0.25">
      <c r="A96" s="7"/>
      <c r="B96" s="111" t="str">
        <f>IF(Ses3_pom!$C$29&gt;2,Ses3_pom!$E$32,"")</f>
        <v/>
      </c>
      <c r="C96" s="7"/>
      <c r="D96" s="50" t="str">
        <f>IFERROR((VLOOKUP(B96,Vkarty!$A$3:$D$500,3,0)),"")</f>
        <v/>
      </c>
      <c r="E96" s="358" t="str">
        <f>IFERROR((VLOOKUP(B96,Vkarty!$A$3:$D$500,4,0)),"")</f>
        <v/>
      </c>
      <c r="F96" s="358"/>
      <c r="G96" s="358"/>
      <c r="H96" s="358"/>
      <c r="I96" s="358"/>
      <c r="J96" s="358"/>
      <c r="K96" s="358"/>
      <c r="L96" s="358"/>
      <c r="M96" s="358"/>
      <c r="N96" s="358"/>
      <c r="O96" s="50">
        <f>IF(Ses3_pom!$C$29&gt;2,Ses3_pom!$F$32,0)*Sestava3!$G$130</f>
        <v>0</v>
      </c>
      <c r="P96" s="7"/>
      <c r="Q96" s="112" t="str">
        <f>IFERROR((VLOOKUP(D96,'1066'!$A$2:$B$1225,2,0)),"")</f>
        <v/>
      </c>
      <c r="R96" s="7" t="str">
        <f t="shared" si="30"/>
        <v/>
      </c>
      <c r="S96" s="7"/>
      <c r="T96" s="112" t="str">
        <f>IFERROR((O96*Q96),"")</f>
        <v/>
      </c>
      <c r="U96" s="7" t="str">
        <f t="shared" si="31"/>
        <v/>
      </c>
      <c r="V96" s="112" t="str">
        <f t="shared" si="33"/>
        <v/>
      </c>
      <c r="W96" s="131" t="str">
        <f t="shared" si="32"/>
        <v/>
      </c>
    </row>
    <row r="97" spans="1:23" x14ac:dyDescent="0.25">
      <c r="A97" s="7"/>
      <c r="B97" s="111" t="str">
        <f>IF(Ses3_pom!$C$29&gt;3,Ses3_pom!$E$33,"")</f>
        <v/>
      </c>
      <c r="C97" s="7"/>
      <c r="D97" s="50" t="str">
        <f>IFERROR((VLOOKUP(B97,Vkarty!$A$3:$D$500,3,0)),"")</f>
        <v/>
      </c>
      <c r="E97" s="358" t="str">
        <f>IFERROR((VLOOKUP(B97,Vkarty!$A$3:$D$500,4,0)),"")</f>
        <v/>
      </c>
      <c r="F97" s="358"/>
      <c r="G97" s="358"/>
      <c r="H97" s="358"/>
      <c r="I97" s="358"/>
      <c r="J97" s="358"/>
      <c r="K97" s="358"/>
      <c r="L97" s="358"/>
      <c r="M97" s="358"/>
      <c r="N97" s="358"/>
      <c r="O97" s="50">
        <f>IF(Ses3_pom!$C$29&gt;3,Ses3_pom!$F$33,0)*Sestava3!$G$130</f>
        <v>0</v>
      </c>
      <c r="P97" s="7"/>
      <c r="Q97" s="112" t="str">
        <f>IFERROR((VLOOKUP(D97,'1066'!$A$2:$B$1225,2,0)),"")</f>
        <v/>
      </c>
      <c r="R97" s="7" t="str">
        <f t="shared" si="30"/>
        <v/>
      </c>
      <c r="S97" s="7"/>
      <c r="T97" s="112" t="str">
        <f>IFERROR((O97*Q97),"")</f>
        <v/>
      </c>
      <c r="U97" s="7" t="str">
        <f t="shared" si="31"/>
        <v/>
      </c>
      <c r="V97" s="112" t="str">
        <f t="shared" si="33"/>
        <v/>
      </c>
      <c r="W97" s="131" t="str">
        <f t="shared" si="32"/>
        <v/>
      </c>
    </row>
    <row r="98" spans="1:23" x14ac:dyDescent="0.25">
      <c r="A98" s="7"/>
      <c r="B98" s="104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112"/>
      <c r="R98" s="7"/>
      <c r="S98" s="7"/>
      <c r="T98" s="112"/>
      <c r="U98" s="7"/>
      <c r="V98" s="112"/>
      <c r="W98" s="97"/>
    </row>
    <row r="99" spans="1:23" x14ac:dyDescent="0.25">
      <c r="A99" s="7"/>
      <c r="B99" s="10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112"/>
      <c r="R99" s="7"/>
      <c r="S99" s="7"/>
      <c r="T99" s="19"/>
      <c r="U99" s="7"/>
      <c r="V99" s="112"/>
      <c r="W99" s="97"/>
    </row>
    <row r="100" spans="1:23" x14ac:dyDescent="0.25">
      <c r="A100" s="7"/>
      <c r="B100" s="111" t="str">
        <f>IF(Sestava3!$G$69=Překlady!$C$15,"391584","")</f>
        <v/>
      </c>
      <c r="C100" s="7"/>
      <c r="D100" s="7"/>
      <c r="E100" s="7" t="str">
        <f>IF(Sestava3!$G$69=Překlady!$C$15,Poplatky!$C$8,"")</f>
        <v/>
      </c>
      <c r="F100" s="7"/>
      <c r="G100" s="7"/>
      <c r="H100" s="7"/>
      <c r="I100" s="7"/>
      <c r="J100" s="7"/>
      <c r="K100" s="7"/>
      <c r="L100" s="7"/>
      <c r="M100" s="7"/>
      <c r="N100" s="7"/>
      <c r="O100" s="50">
        <f>IF(Sestava3!$G$69=Překlady!$C$15,Ses3_pom!$E$23,0)*Sestava3!$G$130</f>
        <v>0</v>
      </c>
      <c r="P100" s="7"/>
      <c r="Q100" s="112" t="str">
        <f>IF(Sestava3!$G$69=Překlady!$C$15,Poplatky!$J$8,"")</f>
        <v/>
      </c>
      <c r="R100" s="7" t="str">
        <f t="shared" ref="R100:R102" si="34">IF(Q100&lt;&gt;"",$Z$2,"")</f>
        <v/>
      </c>
      <c r="S100" s="7"/>
      <c r="T100" s="112" t="str">
        <f>IFERROR((O100*Q100),"")</f>
        <v/>
      </c>
      <c r="U100" s="7" t="str">
        <f t="shared" ref="U100:U102" si="35">IF(T100&lt;&gt;"",$Z$2,"")</f>
        <v/>
      </c>
      <c r="V100" s="112" t="str">
        <f>T100</f>
        <v/>
      </c>
      <c r="W100" s="131" t="str">
        <f t="shared" ref="W100:W102" si="36">IF(V100&lt;&gt;"",$Z$2,"")</f>
        <v/>
      </c>
    </row>
    <row r="101" spans="1:23" x14ac:dyDescent="0.25">
      <c r="A101" s="7"/>
      <c r="B101" s="111" t="str">
        <f>IF(Sestava3!$G$130="","",208204)</f>
        <v/>
      </c>
      <c r="C101" s="7"/>
      <c r="D101" s="7"/>
      <c r="E101" s="7" t="str">
        <f>IF(Sestava3!$G$130="","",Poplatky!$C$6)</f>
        <v/>
      </c>
      <c r="F101" s="7"/>
      <c r="G101" s="7"/>
      <c r="H101" s="7"/>
      <c r="I101" s="7"/>
      <c r="J101" s="7"/>
      <c r="K101" s="7"/>
      <c r="L101" s="7"/>
      <c r="M101" s="7"/>
      <c r="N101" s="7"/>
      <c r="O101" s="50" t="str">
        <f>IFERROR((Ses3_pom!$F$23*Sestava3!$G$130),"")</f>
        <v/>
      </c>
      <c r="P101" s="7"/>
      <c r="Q101" s="112" t="str">
        <f>IF(Sestava3!$G$130="","",Poplatky!$J$6)</f>
        <v/>
      </c>
      <c r="R101" s="7" t="str">
        <f t="shared" si="34"/>
        <v/>
      </c>
      <c r="S101" s="7"/>
      <c r="T101" s="112" t="str">
        <f>IFERROR((O101*Q101),"")</f>
        <v/>
      </c>
      <c r="U101" s="7" t="str">
        <f t="shared" si="35"/>
        <v/>
      </c>
      <c r="V101" s="112" t="str">
        <f>T101</f>
        <v/>
      </c>
      <c r="W101" s="131" t="str">
        <f t="shared" si="36"/>
        <v/>
      </c>
    </row>
    <row r="102" spans="1:23" x14ac:dyDescent="0.25">
      <c r="B102" s="111" t="str">
        <f>IF(Sestava3!$G$130="","",208203)</f>
        <v/>
      </c>
      <c r="C102" s="7"/>
      <c r="D102" s="7"/>
      <c r="E102" s="7" t="str">
        <f>IF(Sestava3!$G$130="","",Poplatky!$C$7)</f>
        <v/>
      </c>
      <c r="F102" s="7"/>
      <c r="G102" s="7"/>
      <c r="H102" s="7"/>
      <c r="I102" s="7"/>
      <c r="J102" s="7"/>
      <c r="K102" s="7"/>
      <c r="L102" s="7"/>
      <c r="M102" s="7"/>
      <c r="N102" s="7"/>
      <c r="O102" s="50">
        <f>Sestava3!$G$130</f>
        <v>0</v>
      </c>
      <c r="P102" s="7"/>
      <c r="Q102" s="112" t="str">
        <f>IF(Sestava3!$G$130="","",Poplatky!$J$7)</f>
        <v/>
      </c>
      <c r="R102" s="7" t="str">
        <f t="shared" si="34"/>
        <v/>
      </c>
      <c r="S102" s="7"/>
      <c r="T102" s="112" t="str">
        <f>IFERROR((O102*Q102),"")</f>
        <v/>
      </c>
      <c r="U102" s="7" t="str">
        <f t="shared" si="35"/>
        <v/>
      </c>
      <c r="V102" s="112" t="str">
        <f>T102</f>
        <v/>
      </c>
      <c r="W102" s="131" t="str">
        <f t="shared" si="36"/>
        <v/>
      </c>
    </row>
    <row r="103" spans="1:23" x14ac:dyDescent="0.25">
      <c r="B103" s="1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9"/>
      <c r="U103" s="7"/>
      <c r="V103" s="19"/>
      <c r="W103" s="97"/>
    </row>
    <row r="104" spans="1:23" x14ac:dyDescent="0.25">
      <c r="B104" s="10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19"/>
      <c r="W104" s="97"/>
    </row>
    <row r="105" spans="1:23" ht="29.45" customHeight="1" x14ac:dyDescent="0.25">
      <c r="B105" s="10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359" t="str">
        <f>Překlady!$C$133&amp;"3:"</f>
        <v>Celková cena za Sestavu 3:</v>
      </c>
      <c r="S105" s="359"/>
      <c r="T105" s="359"/>
      <c r="U105" s="113"/>
      <c r="V105" s="116">
        <f>SUM(V86:V102)</f>
        <v>0</v>
      </c>
      <c r="W105" s="132" t="str">
        <f t="shared" ref="W105" si="37">IF(V105&lt;&gt;"",$Z$2,"")</f>
        <v>Kč</v>
      </c>
    </row>
    <row r="106" spans="1:23" x14ac:dyDescent="0.25">
      <c r="B106" s="1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19"/>
      <c r="U106" s="7"/>
      <c r="V106" s="19"/>
      <c r="W106" s="97"/>
    </row>
    <row r="107" spans="1:23" ht="15.75" thickBot="1" x14ac:dyDescent="0.3">
      <c r="B107" s="98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100"/>
    </row>
    <row r="108" spans="1:23" ht="15.75" thickBot="1" x14ac:dyDescent="0.3"/>
    <row r="109" spans="1:23" ht="18.75" x14ac:dyDescent="0.25">
      <c r="B109" s="360" t="str">
        <f>Překlady!$C$11&amp;" 4"</f>
        <v>Sestava 4</v>
      </c>
      <c r="C109" s="361"/>
      <c r="D109" s="361"/>
      <c r="E109" s="139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4"/>
    </row>
    <row r="110" spans="1:23" ht="18.75" x14ac:dyDescent="0.25">
      <c r="B110" s="362"/>
      <c r="C110" s="211"/>
      <c r="D110" s="211"/>
      <c r="E110" s="51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97"/>
    </row>
    <row r="111" spans="1:23" x14ac:dyDescent="0.25">
      <c r="B111" s="101"/>
      <c r="C111" s="7"/>
      <c r="D111" s="7"/>
      <c r="E111" s="22"/>
      <c r="F111" s="7"/>
      <c r="G111" s="7"/>
      <c r="H111" s="7"/>
      <c r="I111" s="7"/>
      <c r="J111" s="7"/>
      <c r="K111" s="7"/>
      <c r="L111" s="7"/>
      <c r="M111" s="50"/>
      <c r="N111" s="50"/>
      <c r="O111" s="102"/>
      <c r="P111" s="50"/>
      <c r="Q111" s="50"/>
      <c r="R111" s="50"/>
      <c r="S111" s="50"/>
      <c r="T111" s="50"/>
      <c r="U111" s="50"/>
      <c r="V111" s="50"/>
      <c r="W111" s="103"/>
    </row>
    <row r="112" spans="1:23" ht="15.75" thickBot="1" x14ac:dyDescent="0.3">
      <c r="B112" s="10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103"/>
    </row>
    <row r="113" spans="2:23" ht="15.75" x14ac:dyDescent="0.25">
      <c r="B113" s="105" t="str">
        <f>Překlady!$C$111</f>
        <v>Kód:</v>
      </c>
      <c r="C113" s="106"/>
      <c r="D113" s="106" t="str">
        <f>Překlady!$C$122</f>
        <v>Dodací kód:</v>
      </c>
      <c r="E113" s="107" t="str">
        <f>Překlady!$C$112</f>
        <v>Název:</v>
      </c>
      <c r="F113" s="106"/>
      <c r="G113" s="106"/>
      <c r="H113" s="106"/>
      <c r="I113" s="106"/>
      <c r="J113" s="106"/>
      <c r="K113" s="106"/>
      <c r="L113" s="106"/>
      <c r="M113" s="108"/>
      <c r="N113" s="109"/>
      <c r="O113" s="108" t="str">
        <f>Překlady!$C$119</f>
        <v>Množství:</v>
      </c>
      <c r="P113" s="109"/>
      <c r="Q113" s="108" t="str">
        <f>Překlady!$C$114</f>
        <v>Cena/ks:</v>
      </c>
      <c r="R113" s="106"/>
      <c r="S113" s="109"/>
      <c r="T113" s="108" t="str">
        <f>Překlady!$C$115</f>
        <v>Cena celkem:</v>
      </c>
      <c r="U113" s="109"/>
      <c r="V113" s="108" t="str">
        <f>Překlady!$C$117</f>
        <v>Cena po slevě:</v>
      </c>
      <c r="W113" s="110"/>
    </row>
    <row r="114" spans="2:23" ht="15.75" x14ac:dyDescent="0.25">
      <c r="B114" s="10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142"/>
      <c r="U114" s="7"/>
      <c r="V114" s="143"/>
      <c r="W114" s="97"/>
    </row>
    <row r="115" spans="2:23" x14ac:dyDescent="0.25">
      <c r="B115" s="111" t="str">
        <f>IFERROR((TRIM(Sestava4!$AQ$22)),"")</f>
        <v/>
      </c>
      <c r="C115" s="7"/>
      <c r="D115" s="50" t="str">
        <f>IFERROR((VLOOKUP(B115,Vkarty!$A$3:$D$500,3,0)),"")</f>
        <v/>
      </c>
      <c r="E115" s="358" t="str">
        <f>IFERROR((VLOOKUP(B115,Vkarty!$A$3:$D$500,4,0)),"")</f>
        <v/>
      </c>
      <c r="F115" s="358"/>
      <c r="G115" s="358"/>
      <c r="H115" s="358"/>
      <c r="I115" s="358"/>
      <c r="J115" s="358"/>
      <c r="K115" s="358"/>
      <c r="L115" s="358"/>
      <c r="M115" s="358"/>
      <c r="N115" s="358"/>
      <c r="O115" s="50">
        <f>Sestava4!$G$23*Sestava4!$G$130</f>
        <v>0</v>
      </c>
      <c r="P115" s="50"/>
      <c r="Q115" s="112" t="str">
        <f>IFERROR((VLOOKUP(D115,'1066'!$A$2:$B$1225,2,0)),"")</f>
        <v/>
      </c>
      <c r="R115" s="7" t="str">
        <f>IF(Q115&lt;&gt;"",$Z$2,"")</f>
        <v/>
      </c>
      <c r="S115" s="50"/>
      <c r="T115" s="112" t="str">
        <f t="shared" ref="T115:T121" si="38">IFERROR((O115*Q115),"")</f>
        <v/>
      </c>
      <c r="U115" s="7" t="str">
        <f>IF(T115&lt;&gt;"",$Z$2,"")</f>
        <v/>
      </c>
      <c r="V115" s="112" t="str">
        <f>IFERROR(((100-$F$17)/100*T115),"")</f>
        <v/>
      </c>
      <c r="W115" s="131" t="str">
        <f>IF(V115&lt;&gt;"",$Z$2,"")</f>
        <v/>
      </c>
    </row>
    <row r="116" spans="2:23" x14ac:dyDescent="0.25">
      <c r="B116" s="111" t="str">
        <f>IFERROR((Sestava4!$AQ$25),"")</f>
        <v/>
      </c>
      <c r="C116" s="7"/>
      <c r="D116" s="50" t="str">
        <f>IFERROR((VLOOKUP(B116,Vkarty!$A$3:$D$500,3,0)),"")</f>
        <v/>
      </c>
      <c r="E116" s="358" t="str">
        <f>IFERROR((VLOOKUP(B116,Vkarty!$A$3:$D$500,4,0)),"")</f>
        <v/>
      </c>
      <c r="F116" s="358"/>
      <c r="G116" s="358"/>
      <c r="H116" s="358"/>
      <c r="I116" s="358"/>
      <c r="J116" s="358"/>
      <c r="K116" s="358"/>
      <c r="L116" s="358"/>
      <c r="M116" s="358"/>
      <c r="N116" s="358"/>
      <c r="O116" s="50">
        <f>Sestava4!$G$36*Sestava4!$G$130</f>
        <v>0</v>
      </c>
      <c r="P116" s="50"/>
      <c r="Q116" s="112" t="str">
        <f>IFERROR((VLOOKUP(D116,'1066'!$A$2:$B$1225,2,0)),"")</f>
        <v/>
      </c>
      <c r="R116" s="7" t="str">
        <f t="shared" ref="R116:R121" si="39">IF(Q116&lt;&gt;"",$Z$2,"")</f>
        <v/>
      </c>
      <c r="S116" s="50"/>
      <c r="T116" s="112" t="str">
        <f t="shared" si="38"/>
        <v/>
      </c>
      <c r="U116" s="7" t="str">
        <f t="shared" ref="U116:U120" si="40">IF(T116&lt;&gt;"",$Z$2,"")</f>
        <v/>
      </c>
      <c r="V116" s="112" t="str">
        <f>IFERROR(((100-F104)/100*T116),"")</f>
        <v/>
      </c>
      <c r="W116" s="131" t="str">
        <f t="shared" ref="W116:W121" si="41">IF(V116&lt;&gt;"",$Z$2,"")</f>
        <v/>
      </c>
    </row>
    <row r="117" spans="2:23" x14ac:dyDescent="0.25">
      <c r="B117" s="111" t="str">
        <f>IFERROR((Sestava4!$AN$101),"")</f>
        <v/>
      </c>
      <c r="C117" s="7"/>
      <c r="D117" s="50" t="str">
        <f>IFERROR((VLOOKUP(B117,Vkarty!$A$3:$D$500,3,0)),"")</f>
        <v/>
      </c>
      <c r="E117" s="358" t="str">
        <f>IFERROR((VLOOKUP(B117,Vkarty!$A$3:$D$500,4,0)),"")</f>
        <v/>
      </c>
      <c r="F117" s="358"/>
      <c r="G117" s="358"/>
      <c r="H117" s="358"/>
      <c r="I117" s="358"/>
      <c r="J117" s="358"/>
      <c r="K117" s="358"/>
      <c r="L117" s="358"/>
      <c r="M117" s="358"/>
      <c r="N117" s="358"/>
      <c r="O117" s="50">
        <f>CEILING((Sestava4!$I$72+Sestava4!$I$73+Sestava4!$O$72+Sestava4!$O$73)/1000,1)*Sestava4!$G$130</f>
        <v>0</v>
      </c>
      <c r="P117" s="50"/>
      <c r="Q117" s="112" t="str">
        <f>IFERROR((VLOOKUP(D117,'1066'!$A$2:$B$1225,2,0)),"")</f>
        <v/>
      </c>
      <c r="R117" s="7" t="str">
        <f t="shared" si="39"/>
        <v/>
      </c>
      <c r="S117" s="50"/>
      <c r="T117" s="112" t="str">
        <f t="shared" si="38"/>
        <v/>
      </c>
      <c r="U117" s="7" t="str">
        <f t="shared" si="40"/>
        <v/>
      </c>
      <c r="V117" s="112" t="str">
        <f>IFERROR(((100-$F$17)/100*T117),"")</f>
        <v/>
      </c>
      <c r="W117" s="131" t="str">
        <f t="shared" si="41"/>
        <v/>
      </c>
    </row>
    <row r="118" spans="2:23" x14ac:dyDescent="0.25">
      <c r="B118" s="111" t="str">
        <f>IFERROR((Sestava4!$AQ$27),"")</f>
        <v/>
      </c>
      <c r="C118" s="7"/>
      <c r="D118" s="50" t="str">
        <f>IFERROR((VLOOKUP(B118,Vkarty!$A$3:$D$500,3,0)),"")</f>
        <v/>
      </c>
      <c r="E118" s="358" t="str">
        <f>IFERROR((VLOOKUP(B118,Vkarty!$A$3:$D$500,4,0)),"")</f>
        <v/>
      </c>
      <c r="F118" s="358"/>
      <c r="G118" s="358"/>
      <c r="H118" s="358"/>
      <c r="I118" s="358"/>
      <c r="J118" s="358"/>
      <c r="K118" s="358"/>
      <c r="L118" s="358"/>
      <c r="M118" s="358"/>
      <c r="N118" s="358"/>
      <c r="O118" s="50">
        <f>Sestava4!$G$27*Sestava4!$G$130</f>
        <v>0</v>
      </c>
      <c r="P118" s="50"/>
      <c r="Q118" s="112" t="str">
        <f>IFERROR((VLOOKUP(D118,'1066'!$A$2:$B$1225,2,0)),"")</f>
        <v/>
      </c>
      <c r="R118" s="7" t="str">
        <f t="shared" si="39"/>
        <v/>
      </c>
      <c r="S118" s="50"/>
      <c r="T118" s="112" t="str">
        <f t="shared" si="38"/>
        <v/>
      </c>
      <c r="U118" s="7" t="str">
        <f t="shared" si="40"/>
        <v/>
      </c>
      <c r="V118" s="112" t="str">
        <f>IFERROR(((100-$F$17)/100*T118),"")</f>
        <v/>
      </c>
      <c r="W118" s="131" t="str">
        <f t="shared" si="41"/>
        <v/>
      </c>
    </row>
    <row r="119" spans="2:23" x14ac:dyDescent="0.25">
      <c r="B119" s="111" t="str">
        <f>IFERROR((Sestava4!$AM$119),"")</f>
        <v/>
      </c>
      <c r="C119" s="7"/>
      <c r="D119" s="50" t="str">
        <f>IFERROR((VLOOKUP(B119,Vkarty!$A$3:$D$500,3,0)),"")</f>
        <v/>
      </c>
      <c r="E119" s="358" t="str">
        <f>IFERROR((VLOOKUP(B119,Vkarty!$A$3:$D$500,4,0)),"")</f>
        <v/>
      </c>
      <c r="F119" s="358"/>
      <c r="G119" s="358"/>
      <c r="H119" s="358"/>
      <c r="I119" s="358"/>
      <c r="J119" s="358"/>
      <c r="K119" s="358"/>
      <c r="L119" s="358"/>
      <c r="M119" s="358"/>
      <c r="N119" s="358"/>
      <c r="O119" s="50">
        <f>Sestava4!$G$130</f>
        <v>0</v>
      </c>
      <c r="P119" s="50"/>
      <c r="Q119" s="112" t="str">
        <f>IFERROR((VLOOKUP(D119,'1066'!$A$2:$B$1225,2,0)),"")</f>
        <v/>
      </c>
      <c r="R119" s="7" t="str">
        <f t="shared" si="39"/>
        <v/>
      </c>
      <c r="S119" s="50"/>
      <c r="T119" s="112" t="str">
        <f t="shared" si="38"/>
        <v/>
      </c>
      <c r="U119" s="7" t="str">
        <f t="shared" si="40"/>
        <v/>
      </c>
      <c r="V119" s="112" t="str">
        <f t="shared" ref="V119:V121" si="42">IFERROR(((100-$F$17)/100*T119),"")</f>
        <v/>
      </c>
      <c r="W119" s="131" t="str">
        <f t="shared" si="41"/>
        <v/>
      </c>
    </row>
    <row r="120" spans="2:23" x14ac:dyDescent="0.25">
      <c r="B120" s="104" t="str">
        <f>IFERROR((VLOOKUP(Sestava4!$G$112,Produkty!$B$157:$C$225,2,0)),"")</f>
        <v/>
      </c>
      <c r="C120" s="7"/>
      <c r="D120" s="50" t="str">
        <f>IFERROR((VLOOKUP(B120,Vkarty!$A$3:$D$500,3,0)),"")</f>
        <v/>
      </c>
      <c r="E120" s="358" t="str">
        <f>IFERROR((VLOOKUP(B120,Vkarty!$A$3:$D$500,4,0)),"")</f>
        <v/>
      </c>
      <c r="F120" s="358"/>
      <c r="G120" s="358"/>
      <c r="H120" s="358"/>
      <c r="I120" s="358"/>
      <c r="J120" s="358"/>
      <c r="K120" s="358"/>
      <c r="L120" s="358"/>
      <c r="M120" s="358"/>
      <c r="N120" s="358"/>
      <c r="O120" s="50">
        <f>IF(Sestava4!$W$112="",1,Sestava4!$W$112)*Sestava4!$G$130</f>
        <v>0</v>
      </c>
      <c r="P120" s="50"/>
      <c r="Q120" s="112" t="str">
        <f>IFERROR((VLOOKUP(D120,'1066'!$A$2:$B$1225,2,0)),"")</f>
        <v/>
      </c>
      <c r="R120" s="7" t="str">
        <f t="shared" si="39"/>
        <v/>
      </c>
      <c r="S120" s="50"/>
      <c r="T120" s="112" t="str">
        <f t="shared" si="38"/>
        <v/>
      </c>
      <c r="U120" s="7" t="str">
        <f t="shared" si="40"/>
        <v/>
      </c>
      <c r="V120" s="112" t="str">
        <f t="shared" si="42"/>
        <v/>
      </c>
      <c r="W120" s="131" t="str">
        <f t="shared" si="41"/>
        <v/>
      </c>
    </row>
    <row r="121" spans="2:23" ht="14.45" customHeight="1" x14ac:dyDescent="0.25">
      <c r="B121" s="101" t="str">
        <f>IFERROR((VLOOKUP(Sestava4!$G$114,Produkty!$B$214:$C$231,2,0)),"")</f>
        <v/>
      </c>
      <c r="C121" s="7"/>
      <c r="D121" s="50" t="str">
        <f>IFERROR((VLOOKUP(B121,Vkarty!$A$3:$D$500,3,0)),"")</f>
        <v/>
      </c>
      <c r="E121" s="358" t="str">
        <f>IFERROR((VLOOKUP(B121,Vkarty!$A$3:$D$500,4,0)),"")</f>
        <v/>
      </c>
      <c r="F121" s="358"/>
      <c r="G121" s="358"/>
      <c r="H121" s="358"/>
      <c r="I121" s="358"/>
      <c r="J121" s="358"/>
      <c r="K121" s="358"/>
      <c r="L121" s="358"/>
      <c r="M121" s="358"/>
      <c r="N121" s="358"/>
      <c r="O121" s="102">
        <f>IF(Sestava4!$W$114=Překlady!$C$97,1,IF(Sestava4!$W$114=Překlady!$C$98,2,0))*Sestava4!$G$130</f>
        <v>0</v>
      </c>
      <c r="P121" s="50"/>
      <c r="Q121" s="112" t="str">
        <f>IFERROR((VLOOKUP(D121,'1066'!$A$2:$B$1225,2,0)),"")</f>
        <v/>
      </c>
      <c r="R121" s="7" t="str">
        <f t="shared" si="39"/>
        <v/>
      </c>
      <c r="S121" s="50"/>
      <c r="T121" s="112" t="str">
        <f t="shared" si="38"/>
        <v/>
      </c>
      <c r="U121" s="7" t="str">
        <f>IF(T121&lt;&gt;"",$Z$2,"")</f>
        <v/>
      </c>
      <c r="V121" s="112" t="str">
        <f t="shared" si="42"/>
        <v/>
      </c>
      <c r="W121" s="131" t="str">
        <f t="shared" si="41"/>
        <v/>
      </c>
    </row>
    <row r="122" spans="2:23" ht="14.45" customHeight="1" x14ac:dyDescent="0.25">
      <c r="B122" s="10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112"/>
      <c r="R122" s="7"/>
      <c r="S122" s="7"/>
      <c r="T122" s="112"/>
      <c r="U122" s="7"/>
      <c r="V122" s="112"/>
      <c r="W122" s="97"/>
    </row>
    <row r="123" spans="2:23" x14ac:dyDescent="0.25">
      <c r="B123" s="111" t="str">
        <f>IF(Ses4_pom!$C$29&gt;0,Ses4_pom!$E$30,"")</f>
        <v/>
      </c>
      <c r="C123" s="7"/>
      <c r="D123" s="50" t="str">
        <f>IFERROR((VLOOKUP(B123,Vkarty!$A$3:$D$500,3,0)),"")</f>
        <v/>
      </c>
      <c r="E123" s="358" t="str">
        <f>IFERROR((VLOOKUP(B123,Vkarty!$A$3:$D$500,4,0)),"")</f>
        <v/>
      </c>
      <c r="F123" s="358"/>
      <c r="G123" s="358"/>
      <c r="H123" s="358"/>
      <c r="I123" s="358"/>
      <c r="J123" s="358"/>
      <c r="K123" s="358"/>
      <c r="L123" s="358"/>
      <c r="M123" s="358"/>
      <c r="N123" s="358"/>
      <c r="O123" s="50">
        <f>IF(Ses4_pom!$C$29&gt;0,Ses4_pom!$F$30,0)*Sestava4!$G$130</f>
        <v>0</v>
      </c>
      <c r="P123" s="7"/>
      <c r="Q123" s="112" t="str">
        <f>IFERROR((VLOOKUP(D123,'1066'!$A$2:$B$1225,2,0)),"")</f>
        <v/>
      </c>
      <c r="R123" s="7" t="str">
        <f t="shared" ref="R123:R126" si="43">IF(Q123&lt;&gt;"",$Z$2,"")</f>
        <v/>
      </c>
      <c r="S123" s="7"/>
      <c r="T123" s="112" t="str">
        <f>IFERROR((O123*Q123),"")</f>
        <v/>
      </c>
      <c r="U123" s="7" t="str">
        <f t="shared" ref="U123:U126" si="44">IF(T123&lt;&gt;"",$Z$2,"")</f>
        <v/>
      </c>
      <c r="V123" s="112" t="str">
        <f>IFERROR(((100-$F$17)/100*T123),"")</f>
        <v/>
      </c>
      <c r="W123" s="131" t="str">
        <f t="shared" ref="W123:W126" si="45">IF(V123&lt;&gt;"",$Z$2,"")</f>
        <v/>
      </c>
    </row>
    <row r="124" spans="2:23" x14ac:dyDescent="0.25">
      <c r="B124" s="111" t="str">
        <f>IF(Ses4_pom!$C$29&gt;1,Ses4_pom!$E$31,"")</f>
        <v/>
      </c>
      <c r="C124" s="7"/>
      <c r="D124" s="50" t="str">
        <f>IFERROR((VLOOKUP(B124,Vkarty!$A$3:$D$500,3,0)),"")</f>
        <v/>
      </c>
      <c r="E124" s="358" t="str">
        <f>IFERROR((VLOOKUP(B124,Vkarty!$A$3:$D$500,4,0)),"")</f>
        <v/>
      </c>
      <c r="F124" s="358"/>
      <c r="G124" s="358"/>
      <c r="H124" s="358"/>
      <c r="I124" s="358"/>
      <c r="J124" s="358"/>
      <c r="K124" s="358"/>
      <c r="L124" s="358"/>
      <c r="M124" s="358"/>
      <c r="N124" s="358"/>
      <c r="O124" s="50">
        <f>IF(Ses4_pom!$C$29&gt;1,Ses4_pom!$F$31,0)*Sestava4!$G$130</f>
        <v>0</v>
      </c>
      <c r="P124" s="7"/>
      <c r="Q124" s="112" t="str">
        <f>IFERROR((VLOOKUP(D124,'1066'!$A$2:$B$1225,2,0)),"")</f>
        <v/>
      </c>
      <c r="R124" s="7" t="str">
        <f t="shared" si="43"/>
        <v/>
      </c>
      <c r="S124" s="7"/>
      <c r="T124" s="112" t="str">
        <f>IFERROR((O124*Q124),"")</f>
        <v/>
      </c>
      <c r="U124" s="7" t="str">
        <f t="shared" si="44"/>
        <v/>
      </c>
      <c r="V124" s="112" t="str">
        <f t="shared" ref="V124:V126" si="46">IFERROR(((100-$F$17)/100*T124),"")</f>
        <v/>
      </c>
      <c r="W124" s="131" t="str">
        <f t="shared" si="45"/>
        <v/>
      </c>
    </row>
    <row r="125" spans="2:23" x14ac:dyDescent="0.25">
      <c r="B125" s="111" t="str">
        <f>IF(Ses4_pom!$C$29&gt;2,Ses4_pom!$E$32,"")</f>
        <v/>
      </c>
      <c r="C125" s="7"/>
      <c r="D125" s="50" t="str">
        <f>IFERROR((VLOOKUP(B125,Vkarty!$A$3:$D$500,3,0)),"")</f>
        <v/>
      </c>
      <c r="E125" s="358" t="str">
        <f>IFERROR((VLOOKUP(B125,Vkarty!$A$3:$D$500,4,0)),"")</f>
        <v/>
      </c>
      <c r="F125" s="358"/>
      <c r="G125" s="358"/>
      <c r="H125" s="358"/>
      <c r="I125" s="358"/>
      <c r="J125" s="358"/>
      <c r="K125" s="358"/>
      <c r="L125" s="358"/>
      <c r="M125" s="358"/>
      <c r="N125" s="358"/>
      <c r="O125" s="50">
        <f>IF(Ses4_pom!$C$29&gt;2,Ses4_pom!$F$32,0)*Sestava4!$G$130</f>
        <v>0</v>
      </c>
      <c r="P125" s="7"/>
      <c r="Q125" s="112" t="str">
        <f>IFERROR((VLOOKUP(D125,'1066'!$A$2:$B$1225,2,0)),"")</f>
        <v/>
      </c>
      <c r="R125" s="7" t="str">
        <f t="shared" si="43"/>
        <v/>
      </c>
      <c r="S125" s="7"/>
      <c r="T125" s="112" t="str">
        <f>IFERROR((O125*Q125),"")</f>
        <v/>
      </c>
      <c r="U125" s="7" t="str">
        <f t="shared" si="44"/>
        <v/>
      </c>
      <c r="V125" s="112" t="str">
        <f t="shared" si="46"/>
        <v/>
      </c>
      <c r="W125" s="131" t="str">
        <f t="shared" si="45"/>
        <v/>
      </c>
    </row>
    <row r="126" spans="2:23" x14ac:dyDescent="0.25">
      <c r="B126" s="111" t="str">
        <f>IF(Ses4_pom!$C$29&gt;3,Ses4_pom!$E$33,"")</f>
        <v/>
      </c>
      <c r="C126" s="7"/>
      <c r="D126" s="50" t="str">
        <f>IFERROR((VLOOKUP(B126,Vkarty!$A$3:$D$500,3,0)),"")</f>
        <v/>
      </c>
      <c r="E126" s="358" t="str">
        <f>IFERROR((VLOOKUP(B126,Vkarty!$A$3:$D$500,4,0)),"")</f>
        <v/>
      </c>
      <c r="F126" s="358"/>
      <c r="G126" s="358"/>
      <c r="H126" s="358"/>
      <c r="I126" s="358"/>
      <c r="J126" s="358"/>
      <c r="K126" s="358"/>
      <c r="L126" s="358"/>
      <c r="M126" s="358"/>
      <c r="N126" s="358"/>
      <c r="O126" s="50">
        <f>IF(Ses4_pom!$C$29&gt;3,Ses4_pom!$F$33,0)*Sestava4!$G$130</f>
        <v>0</v>
      </c>
      <c r="P126" s="7"/>
      <c r="Q126" s="112" t="str">
        <f>IFERROR((VLOOKUP(D126,'1066'!$A$2:$B$1225,2,0)),"")</f>
        <v/>
      </c>
      <c r="R126" s="7" t="str">
        <f t="shared" si="43"/>
        <v/>
      </c>
      <c r="S126" s="7"/>
      <c r="T126" s="112" t="str">
        <f>IFERROR((O126*Q126),"")</f>
        <v/>
      </c>
      <c r="U126" s="7" t="str">
        <f t="shared" si="44"/>
        <v/>
      </c>
      <c r="V126" s="112" t="str">
        <f t="shared" si="46"/>
        <v/>
      </c>
      <c r="W126" s="131" t="str">
        <f t="shared" si="45"/>
        <v/>
      </c>
    </row>
    <row r="127" spans="2:23" x14ac:dyDescent="0.25">
      <c r="B127" s="104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112"/>
      <c r="R127" s="7"/>
      <c r="S127" s="7"/>
      <c r="T127" s="112"/>
      <c r="U127" s="7"/>
      <c r="V127" s="112"/>
      <c r="W127" s="97"/>
    </row>
    <row r="128" spans="2:23" x14ac:dyDescent="0.25">
      <c r="B128" s="10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112"/>
      <c r="R128" s="7"/>
      <c r="S128" s="7"/>
      <c r="T128" s="19"/>
      <c r="U128" s="7"/>
      <c r="V128" s="112"/>
      <c r="W128" s="97"/>
    </row>
    <row r="129" spans="2:23" x14ac:dyDescent="0.25">
      <c r="B129" s="111" t="str">
        <f>IF(Sestava4!$G$69=Překlady!$C$15,"391584","")</f>
        <v/>
      </c>
      <c r="C129" s="7"/>
      <c r="D129" s="7"/>
      <c r="E129" s="7" t="str">
        <f>IF(Sestava4!$G$69=Překlady!$C$15,Poplatky!$C$8,"")</f>
        <v/>
      </c>
      <c r="F129" s="7"/>
      <c r="G129" s="7"/>
      <c r="H129" s="7"/>
      <c r="I129" s="7"/>
      <c r="J129" s="7"/>
      <c r="K129" s="7"/>
      <c r="L129" s="7"/>
      <c r="M129" s="7"/>
      <c r="N129" s="7"/>
      <c r="O129" s="50">
        <f>IF(Sestava4!$G$69=Překlady!$C$15,Ses4_pom!$E$23,0)*Sestava4!$G$130</f>
        <v>0</v>
      </c>
      <c r="P129" s="7"/>
      <c r="Q129" s="112" t="str">
        <f>IF(Sestava4!$G$69=Překlady!$C$15,Poplatky!$J$8,"")</f>
        <v/>
      </c>
      <c r="R129" s="7" t="str">
        <f t="shared" ref="R129:R131" si="47">IF(Q129&lt;&gt;"",$Z$2,"")</f>
        <v/>
      </c>
      <c r="S129" s="7"/>
      <c r="T129" s="112" t="str">
        <f>IFERROR((O129*Q129),"")</f>
        <v/>
      </c>
      <c r="U129" s="7" t="str">
        <f t="shared" ref="U129:U131" si="48">IF(T129&lt;&gt;"",$Z$2,"")</f>
        <v/>
      </c>
      <c r="V129" s="112" t="str">
        <f>T129</f>
        <v/>
      </c>
      <c r="W129" s="131" t="str">
        <f t="shared" ref="W129:W131" si="49">IF(V129&lt;&gt;"",$Z$2,"")</f>
        <v/>
      </c>
    </row>
    <row r="130" spans="2:23" x14ac:dyDescent="0.25">
      <c r="B130" s="111" t="str">
        <f>IF(Sestava4!$G$130="","",208204)</f>
        <v/>
      </c>
      <c r="C130" s="7"/>
      <c r="D130" s="7"/>
      <c r="E130" s="7" t="str">
        <f>IF(Sestava4!$G$130="","",Poplatky!$C$6)</f>
        <v/>
      </c>
      <c r="F130" s="7"/>
      <c r="G130" s="7"/>
      <c r="H130" s="7"/>
      <c r="I130" s="7"/>
      <c r="J130" s="7"/>
      <c r="K130" s="7"/>
      <c r="L130" s="7"/>
      <c r="M130" s="7"/>
      <c r="N130" s="7"/>
      <c r="O130" s="50" t="str">
        <f>IFERROR((Ses4_pom!$F$23*Sestava4!$G$130),"")</f>
        <v/>
      </c>
      <c r="P130" s="7"/>
      <c r="Q130" s="112" t="str">
        <f>IF(Sestava4!$G$130="","",Poplatky!$J$6)</f>
        <v/>
      </c>
      <c r="R130" s="7" t="str">
        <f t="shared" si="47"/>
        <v/>
      </c>
      <c r="S130" s="7"/>
      <c r="T130" s="112" t="str">
        <f>IFERROR((O130*Q130),"")</f>
        <v/>
      </c>
      <c r="U130" s="7" t="str">
        <f t="shared" si="48"/>
        <v/>
      </c>
      <c r="V130" s="112" t="str">
        <f>T130</f>
        <v/>
      </c>
      <c r="W130" s="131" t="str">
        <f t="shared" si="49"/>
        <v/>
      </c>
    </row>
    <row r="131" spans="2:23" x14ac:dyDescent="0.25">
      <c r="B131" s="111" t="str">
        <f>IF(Sestava4!$G$130="","",208203)</f>
        <v/>
      </c>
      <c r="C131" s="7"/>
      <c r="D131" s="7"/>
      <c r="E131" s="7" t="str">
        <f>IF(Sestava4!$G$130="","",Poplatky!$C$7)</f>
        <v/>
      </c>
      <c r="F131" s="7"/>
      <c r="G131" s="7"/>
      <c r="H131" s="7"/>
      <c r="I131" s="7"/>
      <c r="J131" s="7"/>
      <c r="K131" s="7"/>
      <c r="L131" s="7"/>
      <c r="M131" s="7"/>
      <c r="N131" s="7"/>
      <c r="O131" s="50">
        <f>Sestava4!$G$130</f>
        <v>0</v>
      </c>
      <c r="P131" s="7"/>
      <c r="Q131" s="112" t="str">
        <f>IF(Sestava4!$G$130="","",Poplatky!$J$7)</f>
        <v/>
      </c>
      <c r="R131" s="7" t="str">
        <f t="shared" si="47"/>
        <v/>
      </c>
      <c r="S131" s="7"/>
      <c r="T131" s="112" t="str">
        <f>IFERROR((O131*Q131),"")</f>
        <v/>
      </c>
      <c r="U131" s="7" t="str">
        <f t="shared" si="48"/>
        <v/>
      </c>
      <c r="V131" s="112" t="str">
        <f>T131</f>
        <v/>
      </c>
      <c r="W131" s="131" t="str">
        <f t="shared" si="49"/>
        <v/>
      </c>
    </row>
    <row r="132" spans="2:23" x14ac:dyDescent="0.25">
      <c r="B132" s="1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19"/>
      <c r="U132" s="7"/>
      <c r="V132" s="19"/>
      <c r="W132" s="97"/>
    </row>
    <row r="133" spans="2:23" x14ac:dyDescent="0.25">
      <c r="B133" s="10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9"/>
      <c r="W133" s="97"/>
    </row>
    <row r="134" spans="2:23" ht="18.75" x14ac:dyDescent="0.25">
      <c r="B134" s="10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359" t="str">
        <f>Překlady!$C$133&amp;"4:"</f>
        <v>Celková cena za Sestavu 4:</v>
      </c>
      <c r="S134" s="359"/>
      <c r="T134" s="359"/>
      <c r="U134" s="113"/>
      <c r="V134" s="116">
        <f>SUM(V115:V131)</f>
        <v>0</v>
      </c>
      <c r="W134" s="132" t="str">
        <f t="shared" ref="W134" si="50">IF(V134&lt;&gt;"",$Z$2,"")</f>
        <v>Kč</v>
      </c>
    </row>
    <row r="135" spans="2:23" x14ac:dyDescent="0.25">
      <c r="B135" s="1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19"/>
      <c r="U135" s="7"/>
      <c r="V135" s="19"/>
      <c r="W135" s="97"/>
    </row>
    <row r="136" spans="2:23" ht="15.75" thickBot="1" x14ac:dyDescent="0.3">
      <c r="B136" s="98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100"/>
    </row>
    <row r="137" spans="2:23" x14ac:dyDescent="0.25"/>
  </sheetData>
  <sheetProtection algorithmName="SHA-512" hashValue="V6fxwl8f63I3S+ZElrGRoygdd3dKES2w78aevF9zAy9FswTYHtQgsJ0kfRnfAzCXwrgeN044U/mTCPON9IvYaA==" saltValue="WxGq/J5YezsywXwwgNSokw==" spinCount="100000" sheet="1" objects="1" scenarios="1"/>
  <mergeCells count="64">
    <mergeCell ref="R47:T47"/>
    <mergeCell ref="B7:D7"/>
    <mergeCell ref="B9:D9"/>
    <mergeCell ref="B11:D11"/>
    <mergeCell ref="B13:D13"/>
    <mergeCell ref="F7:W7"/>
    <mergeCell ref="F9:W9"/>
    <mergeCell ref="F11:W11"/>
    <mergeCell ref="B20:D21"/>
    <mergeCell ref="E34:N34"/>
    <mergeCell ref="E33:N33"/>
    <mergeCell ref="B51:D52"/>
    <mergeCell ref="E60:N60"/>
    <mergeCell ref="E61:N61"/>
    <mergeCell ref="E62:N62"/>
    <mergeCell ref="E63:N63"/>
    <mergeCell ref="E57:N57"/>
    <mergeCell ref="E58:N58"/>
    <mergeCell ref="E59:N59"/>
    <mergeCell ref="E66:N66"/>
    <mergeCell ref="E67:N67"/>
    <mergeCell ref="R76:T76"/>
    <mergeCell ref="T2:W3"/>
    <mergeCell ref="E38:N38"/>
    <mergeCell ref="E39:N39"/>
    <mergeCell ref="F13:W13"/>
    <mergeCell ref="E36:N36"/>
    <mergeCell ref="E37:N37"/>
    <mergeCell ref="E2:S3"/>
    <mergeCell ref="E29:N29"/>
    <mergeCell ref="E28:N28"/>
    <mergeCell ref="E30:N30"/>
    <mergeCell ref="E31:N31"/>
    <mergeCell ref="E32:N32"/>
    <mergeCell ref="E68:N68"/>
    <mergeCell ref="E65:N65"/>
    <mergeCell ref="E96:N96"/>
    <mergeCell ref="E97:N97"/>
    <mergeCell ref="R105:T105"/>
    <mergeCell ref="B17:D17"/>
    <mergeCell ref="R17:T17"/>
    <mergeCell ref="E90:N90"/>
    <mergeCell ref="E91:N91"/>
    <mergeCell ref="E92:N92"/>
    <mergeCell ref="E94:N94"/>
    <mergeCell ref="E95:N95"/>
    <mergeCell ref="B80:D81"/>
    <mergeCell ref="E86:N86"/>
    <mergeCell ref="E87:N87"/>
    <mergeCell ref="E88:N88"/>
    <mergeCell ref="E89:N89"/>
    <mergeCell ref="B109:D110"/>
    <mergeCell ref="E115:N115"/>
    <mergeCell ref="E116:N116"/>
    <mergeCell ref="E117:N117"/>
    <mergeCell ref="E118:N118"/>
    <mergeCell ref="E125:N125"/>
    <mergeCell ref="E126:N126"/>
    <mergeCell ref="R134:T134"/>
    <mergeCell ref="E119:N119"/>
    <mergeCell ref="E120:N120"/>
    <mergeCell ref="E121:N121"/>
    <mergeCell ref="E123:N123"/>
    <mergeCell ref="E124:N124"/>
  </mergeCells>
  <hyperlinks>
    <hyperlink ref="T2:V3" location="Úvod!A1" display="Úvod!A1" xr:uid="{F237915B-B8F1-4797-81B1-BC57E7FB776E}"/>
    <hyperlink ref="B51:D52" location="Sestava2!A1" display="Sestava2!A1" xr:uid="{BBC05567-92FA-42BF-A36D-CD3586F9AFD5}"/>
    <hyperlink ref="B80:D81" location="Sestava3!A1" display="Sestava3!A1" xr:uid="{90577110-0842-4E43-B2B0-AD814CEC4E98}"/>
    <hyperlink ref="B109:D110" location="Sestava4!A1" display="Sestava4!A1" xr:uid="{460ABC72-0211-47B3-AD90-EA65828A1869}"/>
    <hyperlink ref="B20:D21" location="Sestava1!A1" display="Sestava1!A1" xr:uid="{615AAF35-04A7-45AD-B993-E3B5BCC3A6D7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2091-C7B2-46C7-B632-D2B51FF99FD7}">
  <sheetPr codeName="List8"/>
  <dimension ref="A1:AC138"/>
  <sheetViews>
    <sheetView showGridLines="0" showRowColHeaders="0" workbookViewId="0">
      <selection activeCell="V2" sqref="V2:X3"/>
    </sheetView>
  </sheetViews>
  <sheetFormatPr defaultColWidth="0" defaultRowHeight="15" zeroHeight="1" x14ac:dyDescent="0.25"/>
  <cols>
    <col min="1" max="1" width="4.42578125" style="7" customWidth="1"/>
    <col min="2" max="24" width="9.140625" style="7" customWidth="1"/>
    <col min="25" max="27" width="9.140625" style="7" hidden="1" customWidth="1"/>
    <col min="28" max="29" width="0" style="7" hidden="1" customWidth="1"/>
    <col min="30" max="16384" width="9.140625" style="7" hidden="1"/>
  </cols>
  <sheetData>
    <row r="1" spans="1:29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9" ht="15" customHeight="1" x14ac:dyDescent="0.25">
      <c r="A2" s="25"/>
      <c r="B2" s="25"/>
      <c r="C2" s="25"/>
      <c r="D2" s="25"/>
      <c r="E2" s="423" t="str">
        <f>Překlady!C103</f>
        <v>Přehled ovladačů</v>
      </c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4"/>
      <c r="V2" s="364" t="str">
        <f>Překlady!C7</f>
        <v>Úvod</v>
      </c>
      <c r="W2" s="211"/>
      <c r="X2" s="211"/>
      <c r="AB2" s="51"/>
      <c r="AC2" s="51"/>
    </row>
    <row r="3" spans="1:29" ht="15" customHeight="1" x14ac:dyDescent="0.25">
      <c r="A3" s="25"/>
      <c r="B3" s="25"/>
      <c r="C3" s="25"/>
      <c r="D3" s="25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4"/>
      <c r="V3" s="364"/>
      <c r="W3" s="211"/>
      <c r="X3" s="211"/>
      <c r="AB3" s="51"/>
      <c r="AC3" s="51"/>
    </row>
    <row r="4" spans="1:29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29" x14ac:dyDescent="0.25">
      <c r="B5" s="210" t="str">
        <f>Překlady!$C$11&amp;" 1"</f>
        <v>Sestava 1</v>
      </c>
      <c r="C5" s="210"/>
      <c r="D5" s="210"/>
      <c r="E5" s="210"/>
      <c r="H5" s="413" t="str">
        <f>Překlady!$C$11&amp;" 2"</f>
        <v>Sestava 2</v>
      </c>
      <c r="I5" s="413"/>
      <c r="J5" s="413"/>
      <c r="K5" s="413"/>
      <c r="N5" s="413" t="str">
        <f>Překlady!$C$11&amp;" 3"</f>
        <v>Sestava 3</v>
      </c>
      <c r="O5" s="413"/>
      <c r="P5" s="413"/>
      <c r="Q5" s="413"/>
      <c r="R5" s="50"/>
      <c r="T5" s="413" t="str">
        <f>Překlady!$C$11&amp;" 4"</f>
        <v>Sestava 4</v>
      </c>
      <c r="U5" s="413"/>
      <c r="V5" s="413"/>
      <c r="W5" s="413"/>
    </row>
    <row r="6" spans="1:29" x14ac:dyDescent="0.25">
      <c r="B6" s="210"/>
      <c r="C6" s="210"/>
      <c r="D6" s="210"/>
      <c r="E6" s="210"/>
      <c r="H6" s="413"/>
      <c r="I6" s="413"/>
      <c r="J6" s="413"/>
      <c r="K6" s="413"/>
      <c r="N6" s="413"/>
      <c r="O6" s="413"/>
      <c r="P6" s="413"/>
      <c r="Q6" s="413"/>
      <c r="R6" s="50"/>
      <c r="T6" s="413"/>
      <c r="U6" s="413"/>
      <c r="V6" s="413"/>
      <c r="W6" s="413"/>
    </row>
    <row r="7" spans="1:29" x14ac:dyDescent="0.25"/>
    <row r="8" spans="1:29" x14ac:dyDescent="0.25"/>
    <row r="9" spans="1:29" ht="15.75" customHeight="1" x14ac:dyDescent="0.25">
      <c r="B9" s="375" t="str">
        <f>Překlady!C103&amp;" "&amp;Překlady!C85&amp;":"</f>
        <v>Přehled ovladačů v profilu:</v>
      </c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7"/>
    </row>
    <row r="10" spans="1:29" x14ac:dyDescent="0.25">
      <c r="B10" s="378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80"/>
    </row>
    <row r="11" spans="1:29" x14ac:dyDescent="0.25">
      <c r="B11" s="52">
        <v>342513</v>
      </c>
      <c r="C11" s="381" t="str">
        <f>Produkty!B157</f>
        <v>StrongLumio dotykový senzor s pružinou do profilu, 12-24V 8A</v>
      </c>
      <c r="D11" s="381"/>
      <c r="E11" s="381"/>
      <c r="F11" s="382"/>
      <c r="G11" s="53"/>
      <c r="H11" s="52">
        <v>507818</v>
      </c>
      <c r="I11" s="385" t="str">
        <f>Produkty!B158</f>
        <v>StrongLumio flexibilní dotykový vypínač/stmívač do alu profilu</v>
      </c>
      <c r="J11" s="381"/>
      <c r="K11" s="381"/>
      <c r="L11" s="382"/>
      <c r="M11" s="53"/>
      <c r="N11" s="52">
        <v>312317</v>
      </c>
      <c r="O11" s="385" t="str">
        <f>Produkty!B159</f>
        <v>StrongLumio LED mechanický vypínač 12/24V do profilů, 90W/180W</v>
      </c>
      <c r="P11" s="381"/>
      <c r="Q11" s="381"/>
      <c r="R11" s="382"/>
      <c r="S11" s="53"/>
      <c r="T11" s="52">
        <v>405195</v>
      </c>
      <c r="U11" s="385" t="str">
        <f>Produkty!B160</f>
        <v>StrongLumio bezdotykový senzor do profilu CCT, 12-24V 8A</v>
      </c>
      <c r="V11" s="381"/>
      <c r="W11" s="381"/>
      <c r="X11" s="382"/>
    </row>
    <row r="12" spans="1:29" x14ac:dyDescent="0.25">
      <c r="B12" s="54"/>
      <c r="C12" s="383"/>
      <c r="D12" s="383"/>
      <c r="E12" s="383"/>
      <c r="F12" s="384"/>
      <c r="H12" s="54"/>
      <c r="I12" s="386"/>
      <c r="J12" s="383"/>
      <c r="K12" s="383"/>
      <c r="L12" s="384"/>
      <c r="N12" s="54"/>
      <c r="O12" s="386"/>
      <c r="P12" s="383"/>
      <c r="Q12" s="383"/>
      <c r="R12" s="384"/>
      <c r="T12" s="54"/>
      <c r="U12" s="386"/>
      <c r="V12" s="383"/>
      <c r="W12" s="383"/>
      <c r="X12" s="384"/>
    </row>
    <row r="13" spans="1:29" x14ac:dyDescent="0.25">
      <c r="B13" s="55"/>
      <c r="F13" s="56"/>
      <c r="H13" s="55"/>
      <c r="L13" s="56"/>
      <c r="N13" s="55"/>
      <c r="R13" s="56"/>
      <c r="T13" s="55"/>
      <c r="X13" s="56"/>
    </row>
    <row r="14" spans="1:29" x14ac:dyDescent="0.25">
      <c r="B14" s="55"/>
      <c r="F14" s="56"/>
      <c r="H14" s="55"/>
      <c r="L14" s="56"/>
      <c r="N14" s="55"/>
      <c r="R14" s="56"/>
      <c r="T14" s="55"/>
      <c r="X14" s="56"/>
    </row>
    <row r="15" spans="1:29" x14ac:dyDescent="0.25">
      <c r="B15" s="55"/>
      <c r="F15" s="56"/>
      <c r="H15" s="55"/>
      <c r="L15" s="56"/>
      <c r="N15" s="55"/>
      <c r="R15" s="56"/>
      <c r="T15" s="55"/>
      <c r="X15" s="56"/>
    </row>
    <row r="16" spans="1:29" x14ac:dyDescent="0.25">
      <c r="B16" s="55"/>
      <c r="F16" s="56"/>
      <c r="H16" s="55"/>
      <c r="L16" s="56"/>
      <c r="N16" s="55"/>
      <c r="R16" s="56"/>
      <c r="T16" s="55"/>
      <c r="X16" s="56"/>
    </row>
    <row r="17" spans="2:24" x14ac:dyDescent="0.25">
      <c r="B17" s="55"/>
      <c r="F17" s="56"/>
      <c r="H17" s="55"/>
      <c r="L17" s="56"/>
      <c r="N17" s="55"/>
      <c r="R17" s="56"/>
      <c r="T17" s="55"/>
      <c r="X17" s="56"/>
    </row>
    <row r="18" spans="2:24" x14ac:dyDescent="0.25">
      <c r="B18" s="55"/>
      <c r="F18" s="56"/>
      <c r="H18" s="55"/>
      <c r="L18" s="56"/>
      <c r="N18" s="55"/>
      <c r="R18" s="56"/>
      <c r="T18" s="55"/>
      <c r="X18" s="56"/>
    </row>
    <row r="19" spans="2:24" x14ac:dyDescent="0.25">
      <c r="B19" s="55"/>
      <c r="F19" s="56"/>
      <c r="H19" s="55"/>
      <c r="L19" s="56"/>
      <c r="N19" s="55"/>
      <c r="R19" s="56"/>
      <c r="T19" s="55"/>
      <c r="X19" s="56"/>
    </row>
    <row r="20" spans="2:24" x14ac:dyDescent="0.25">
      <c r="B20" s="55"/>
      <c r="F20" s="56"/>
      <c r="H20" s="55"/>
      <c r="L20" s="56"/>
      <c r="N20" s="55"/>
      <c r="R20" s="56"/>
      <c r="T20" s="55"/>
      <c r="X20" s="56"/>
    </row>
    <row r="21" spans="2:24" x14ac:dyDescent="0.25">
      <c r="B21" s="55"/>
      <c r="F21" s="56"/>
      <c r="H21" s="55"/>
      <c r="L21" s="56"/>
      <c r="N21" s="55"/>
      <c r="R21" s="56"/>
      <c r="T21" s="55"/>
      <c r="X21" s="56"/>
    </row>
    <row r="22" spans="2:24" x14ac:dyDescent="0.25">
      <c r="B22" s="393" t="str">
        <f>HYPERLINK(CONCATENATE("https://www.demos24plus.com/product/",B11),CONCATENATE("https://www.demos24plus.com/product/",B11))</f>
        <v>https://www.demos24plus.com/product/342513</v>
      </c>
      <c r="C22" s="394"/>
      <c r="D22" s="394"/>
      <c r="E22" s="394"/>
      <c r="F22" s="395"/>
      <c r="H22" s="393" t="str">
        <f>HYPERLINK(CONCATENATE("https://www.demos24plus.com/product/",H11),CONCATENATE("https://www.demos24plus.com/product/",H11))</f>
        <v>https://www.demos24plus.com/product/507818</v>
      </c>
      <c r="I22" s="394"/>
      <c r="J22" s="394"/>
      <c r="K22" s="394"/>
      <c r="L22" s="395"/>
      <c r="N22" s="393" t="str">
        <f>HYPERLINK(CONCATENATE("https://www.demos24plus.com/product/",N11),CONCATENATE("https://www.demos24plus.com/product/",N11))</f>
        <v>https://www.demos24plus.com/product/312317</v>
      </c>
      <c r="O22" s="394"/>
      <c r="P22" s="394"/>
      <c r="Q22" s="394"/>
      <c r="R22" s="395"/>
      <c r="T22" s="393" t="str">
        <f>HYPERLINK(CONCATENATE("https://www.demos24plus.com/product/",T11),CONCATENATE("https://www.demos24plus.com/product/",T11))</f>
        <v>https://www.demos24plus.com/product/405195</v>
      </c>
      <c r="U22" s="394"/>
      <c r="V22" s="394"/>
      <c r="W22" s="394"/>
      <c r="X22" s="395"/>
    </row>
    <row r="23" spans="2:24" x14ac:dyDescent="0.25">
      <c r="B23" s="57"/>
      <c r="C23" s="58"/>
      <c r="D23" s="58"/>
      <c r="E23" s="58"/>
      <c r="F23" s="59"/>
      <c r="G23" s="60"/>
      <c r="H23" s="57"/>
      <c r="I23" s="58"/>
      <c r="J23" s="58"/>
      <c r="K23" s="58"/>
      <c r="L23" s="59"/>
      <c r="M23" s="60"/>
      <c r="N23" s="57"/>
      <c r="O23" s="58"/>
      <c r="P23" s="58"/>
      <c r="Q23" s="58"/>
      <c r="R23" s="59"/>
      <c r="S23" s="60"/>
      <c r="T23" s="57"/>
      <c r="U23" s="58"/>
      <c r="V23" s="58"/>
      <c r="W23" s="58"/>
      <c r="X23" s="59"/>
    </row>
    <row r="24" spans="2:24" ht="23.25" customHeight="1" x14ac:dyDescent="0.25"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2:24" ht="23.25" customHeight="1" x14ac:dyDescent="0.25">
      <c r="B25" s="52">
        <v>215666</v>
      </c>
      <c r="C25" s="53" t="str">
        <f>Produkty!B161</f>
        <v>StrongLumio LED vypínač/stmívač do profilu 12/24V, žlutá kontrolka</v>
      </c>
      <c r="D25" s="53"/>
      <c r="E25" s="53"/>
      <c r="J25" s="56"/>
      <c r="K25" s="55"/>
      <c r="R25" s="398" t="str">
        <f>HYPERLINK(CONCATENATE("https://www.demos24plus.com/product/",B25),CONCATENATE("https://www.demos24plus.com/product/",B25))</f>
        <v>https://www.demos24plus.com/product/215666</v>
      </c>
      <c r="S25" s="399"/>
      <c r="T25" s="399"/>
      <c r="U25" s="399"/>
      <c r="V25" s="399"/>
      <c r="W25" s="399"/>
      <c r="X25" s="400"/>
    </row>
    <row r="26" spans="2:24" ht="23.25" customHeight="1" x14ac:dyDescent="0.25">
      <c r="B26" s="60">
        <v>215772</v>
      </c>
      <c r="C26" s="7" t="str">
        <f>Produkty!B162</f>
        <v>StrongLumio LED vypínač/stmívač do profilu 12/24V, modrá kontrolka</v>
      </c>
      <c r="J26" s="56"/>
      <c r="K26" s="55"/>
      <c r="R26" s="401" t="str">
        <f t="shared" ref="R26:R27" si="0">HYPERLINK(CONCATENATE("https://www.demos24plus.com/product/",B26),CONCATENATE("https://www.demos24plus.com/product/",B26))</f>
        <v>https://www.demos24plus.com/product/215772</v>
      </c>
      <c r="S26" s="402"/>
      <c r="T26" s="402"/>
      <c r="U26" s="402"/>
      <c r="V26" s="402"/>
      <c r="W26" s="402"/>
      <c r="X26" s="403"/>
    </row>
    <row r="27" spans="2:24" ht="23.25" customHeight="1" x14ac:dyDescent="0.25">
      <c r="B27" s="54">
        <v>392223</v>
      </c>
      <c r="C27" s="58" t="str">
        <f>Produkty!B163</f>
        <v>StrongLumio LED vypínač/stmívač do profilu 12/24V, bez LED kontrolky</v>
      </c>
      <c r="D27" s="58"/>
      <c r="E27" s="58"/>
      <c r="F27" s="58"/>
      <c r="G27" s="58"/>
      <c r="H27" s="58"/>
      <c r="I27" s="58"/>
      <c r="J27" s="59"/>
      <c r="K27" s="57"/>
      <c r="L27" s="58"/>
      <c r="M27" s="58"/>
      <c r="N27" s="58"/>
      <c r="O27" s="58"/>
      <c r="P27" s="58"/>
      <c r="Q27" s="58"/>
      <c r="R27" s="404" t="str">
        <f t="shared" si="0"/>
        <v>https://www.demos24plus.com/product/392223</v>
      </c>
      <c r="S27" s="405"/>
      <c r="T27" s="405"/>
      <c r="U27" s="405"/>
      <c r="V27" s="405"/>
      <c r="W27" s="405"/>
      <c r="X27" s="406"/>
    </row>
    <row r="28" spans="2:24" x14ac:dyDescent="0.25"/>
    <row r="29" spans="2:24" x14ac:dyDescent="0.25"/>
    <row r="30" spans="2:24" x14ac:dyDescent="0.25"/>
    <row r="31" spans="2:24" x14ac:dyDescent="0.25">
      <c r="B31" s="375" t="str">
        <f>Překlady!C103&amp;" "&amp;Překlady!C86&amp;":"</f>
        <v>Přehled ovladačů mimo profil:</v>
      </c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6"/>
      <c r="T31" s="376"/>
      <c r="U31" s="376"/>
      <c r="V31" s="376"/>
      <c r="W31" s="376"/>
      <c r="X31" s="377"/>
    </row>
    <row r="32" spans="2:24" x14ac:dyDescent="0.25">
      <c r="B32" s="378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96"/>
      <c r="S32" s="396"/>
      <c r="T32" s="396"/>
      <c r="U32" s="396"/>
      <c r="V32" s="396"/>
      <c r="W32" s="396"/>
      <c r="X32" s="397"/>
    </row>
    <row r="33" spans="2:24" ht="27" customHeight="1" x14ac:dyDescent="0.25">
      <c r="B33" s="52">
        <v>342516</v>
      </c>
      <c r="C33" s="61" t="str">
        <f>Produkty!B166</f>
        <v>StrongLumio zafrézovací vypínač/stmívač 12-24V 4A konektory Mini, černá</v>
      </c>
      <c r="D33" s="53"/>
      <c r="E33" s="53"/>
      <c r="F33" s="53"/>
      <c r="G33" s="53"/>
      <c r="H33" s="53"/>
      <c r="I33" s="53"/>
      <c r="J33" s="62"/>
      <c r="K33" s="61"/>
      <c r="L33" s="53"/>
      <c r="M33" s="53"/>
      <c r="N33" s="53"/>
      <c r="O33" s="53"/>
      <c r="P33" s="53"/>
      <c r="Q33" s="53"/>
      <c r="R33" s="398" t="str">
        <f>HYPERLINK(CONCATENATE("https://www.demos24plus.com/product/",B33),CONCATENATE("https://www.demos24plus.com/product/",B33))</f>
        <v>https://www.demos24plus.com/product/342516</v>
      </c>
      <c r="S33" s="399"/>
      <c r="T33" s="399"/>
      <c r="U33" s="399"/>
      <c r="V33" s="399"/>
      <c r="W33" s="399"/>
      <c r="X33" s="400"/>
    </row>
    <row r="34" spans="2:24" ht="27" customHeight="1" x14ac:dyDescent="0.25">
      <c r="B34" s="60">
        <v>342517</v>
      </c>
      <c r="C34" s="55" t="str">
        <f>Produkty!B167</f>
        <v>StrongLumio zafrézovací vypínač/stmívač 12-24V 4A konektory Mini, bílá</v>
      </c>
      <c r="J34" s="56"/>
      <c r="K34" s="55"/>
      <c r="R34" s="401" t="str">
        <f>HYPERLINK(CONCATENATE("https://www.demos24plus.com/product/",B34),CONCATENATE("https://www.demos24plus.com/product/",B34))</f>
        <v>https://www.demos24plus.com/product/342517</v>
      </c>
      <c r="S34" s="402"/>
      <c r="T34" s="402"/>
      <c r="U34" s="402"/>
      <c r="V34" s="402"/>
      <c r="W34" s="402"/>
      <c r="X34" s="403"/>
    </row>
    <row r="35" spans="2:24" ht="27" customHeight="1" x14ac:dyDescent="0.25">
      <c r="B35" s="54">
        <v>405197</v>
      </c>
      <c r="C35" s="57" t="str">
        <f>Produkty!B168</f>
        <v>StrongLumio zafrézovací vypínač/stmívač 12-24V, 4A konektory Mini, stříbrná</v>
      </c>
      <c r="D35" s="58"/>
      <c r="E35" s="58"/>
      <c r="F35" s="58"/>
      <c r="G35" s="58"/>
      <c r="H35" s="58"/>
      <c r="I35" s="58"/>
      <c r="J35" s="59"/>
      <c r="K35" s="57"/>
      <c r="L35" s="58"/>
      <c r="M35" s="58"/>
      <c r="N35" s="58"/>
      <c r="O35" s="58"/>
      <c r="P35" s="58"/>
      <c r="Q35" s="58"/>
      <c r="R35" s="404" t="str">
        <f>HYPERLINK(CONCATENATE("https://www.demos24plus.com/product/",B35),CONCATENATE("https://www.demos24plus.com/product/",B35))</f>
        <v>https://www.demos24plus.com/product/405197</v>
      </c>
      <c r="S35" s="405"/>
      <c r="T35" s="405"/>
      <c r="U35" s="405"/>
      <c r="V35" s="405"/>
      <c r="W35" s="405"/>
      <c r="X35" s="406"/>
    </row>
    <row r="36" spans="2:24" ht="7.5" customHeight="1" x14ac:dyDescent="0.25"/>
    <row r="37" spans="2:24" ht="7.5" customHeight="1" x14ac:dyDescent="0.25"/>
    <row r="38" spans="2:24" ht="15" customHeight="1" x14ac:dyDescent="0.25">
      <c r="B38" s="52">
        <v>405199</v>
      </c>
      <c r="C38" s="385" t="str">
        <f>Produkty!B169</f>
        <v>StrongLumio povrchový vypínač/stmívač 12-24V, 4A konektory Mini, černá</v>
      </c>
      <c r="D38" s="381"/>
      <c r="E38" s="381"/>
      <c r="F38" s="382"/>
      <c r="H38" s="52">
        <v>405917</v>
      </c>
      <c r="I38" s="385" t="str">
        <f>Produkty!B173</f>
        <v>StrongLumio bezdotykový vypínač/stmívač alu, 12/24V 48/96W 4A Mini, bílá</v>
      </c>
      <c r="J38" s="381"/>
      <c r="K38" s="381"/>
      <c r="L38" s="382"/>
      <c r="N38" s="52">
        <v>374370</v>
      </c>
      <c r="O38" s="385" t="str">
        <f>Produkty!B174</f>
        <v>StrongLumio bezdotykový vypínač plast, 12-24V, 4A konektory Mini</v>
      </c>
      <c r="P38" s="381"/>
      <c r="Q38" s="381"/>
      <c r="R38" s="382"/>
      <c r="T38" s="52">
        <v>405198</v>
      </c>
      <c r="U38" s="385" t="str">
        <f>Produkty!B175</f>
        <v>StrongLumio podpovrchový vypínač/stmívač 12-24V, 4A konektory Mini, bílá</v>
      </c>
      <c r="V38" s="381"/>
      <c r="W38" s="381"/>
      <c r="X38" s="382"/>
    </row>
    <row r="39" spans="2:24" ht="15" customHeight="1" x14ac:dyDescent="0.25">
      <c r="B39" s="54"/>
      <c r="C39" s="386"/>
      <c r="D39" s="383"/>
      <c r="E39" s="383"/>
      <c r="F39" s="384"/>
      <c r="H39" s="54"/>
      <c r="I39" s="386"/>
      <c r="J39" s="383"/>
      <c r="K39" s="383"/>
      <c r="L39" s="384"/>
      <c r="N39" s="54"/>
      <c r="O39" s="386"/>
      <c r="P39" s="383"/>
      <c r="Q39" s="383"/>
      <c r="R39" s="384"/>
      <c r="T39" s="54"/>
      <c r="U39" s="386"/>
      <c r="V39" s="383"/>
      <c r="W39" s="383"/>
      <c r="X39" s="384"/>
    </row>
    <row r="40" spans="2:24" ht="15" customHeight="1" x14ac:dyDescent="0.25">
      <c r="B40" s="52">
        <v>405200</v>
      </c>
      <c r="C40" s="385" t="str">
        <f>Produkty!B170</f>
        <v>StrongLumio povrchový vypínač/stmívač 12-24V, 4A konektory Mini, bílá</v>
      </c>
      <c r="D40" s="381"/>
      <c r="E40" s="381"/>
      <c r="F40" s="382"/>
      <c r="H40" s="52">
        <v>405918</v>
      </c>
      <c r="I40" s="385" t="str">
        <f>Produkty!B172</f>
        <v>StrongLumio bezdotykový vypínač/stmívač alu, 12/24V 48/96W 4A Mini, černá</v>
      </c>
      <c r="J40" s="381"/>
      <c r="K40" s="381"/>
      <c r="L40" s="382"/>
      <c r="N40" s="55"/>
      <c r="R40" s="56"/>
      <c r="T40" s="55"/>
      <c r="X40" s="56"/>
    </row>
    <row r="41" spans="2:24" ht="15" customHeight="1" x14ac:dyDescent="0.25">
      <c r="B41" s="54"/>
      <c r="C41" s="386"/>
      <c r="D41" s="383"/>
      <c r="E41" s="383"/>
      <c r="F41" s="384"/>
      <c r="H41" s="54"/>
      <c r="I41" s="386"/>
      <c r="J41" s="383"/>
      <c r="K41" s="383"/>
      <c r="L41" s="384"/>
      <c r="N41" s="55"/>
      <c r="R41" s="56"/>
      <c r="T41" s="55"/>
      <c r="X41" s="56"/>
    </row>
    <row r="42" spans="2:24" ht="15" customHeight="1" x14ac:dyDescent="0.25">
      <c r="B42" s="52">
        <v>405201</v>
      </c>
      <c r="C42" s="385" t="str">
        <f>Produkty!B171</f>
        <v>StrongLumio povrchový vypínač/stmívač 12-24V, 4A konektory Mini, stříbrná</v>
      </c>
      <c r="D42" s="381"/>
      <c r="E42" s="381"/>
      <c r="F42" s="382"/>
      <c r="H42" s="55"/>
      <c r="L42" s="56"/>
      <c r="N42" s="55"/>
      <c r="R42" s="56"/>
      <c r="T42" s="55"/>
      <c r="X42" s="56"/>
    </row>
    <row r="43" spans="2:24" x14ac:dyDescent="0.25">
      <c r="B43" s="54"/>
      <c r="C43" s="386"/>
      <c r="D43" s="383"/>
      <c r="E43" s="383"/>
      <c r="F43" s="384"/>
      <c r="H43" s="55"/>
      <c r="L43" s="56"/>
      <c r="N43" s="55"/>
      <c r="R43" s="56"/>
      <c r="T43" s="55"/>
      <c r="X43" s="56"/>
    </row>
    <row r="44" spans="2:24" x14ac:dyDescent="0.25">
      <c r="B44" s="55"/>
      <c r="F44" s="56"/>
      <c r="H44" s="55"/>
      <c r="L44" s="56"/>
      <c r="N44" s="55"/>
      <c r="R44" s="56"/>
      <c r="T44" s="55"/>
      <c r="X44" s="56"/>
    </row>
    <row r="45" spans="2:24" x14ac:dyDescent="0.25">
      <c r="B45" s="55"/>
      <c r="F45" s="56"/>
      <c r="H45" s="55"/>
      <c r="L45" s="56"/>
      <c r="N45" s="55"/>
      <c r="R45" s="56"/>
      <c r="T45" s="55"/>
      <c r="X45" s="56"/>
    </row>
    <row r="46" spans="2:24" x14ac:dyDescent="0.25">
      <c r="B46" s="55"/>
      <c r="F46" s="56"/>
      <c r="H46" s="55"/>
      <c r="L46" s="56"/>
      <c r="N46" s="55"/>
      <c r="R46" s="56"/>
      <c r="T46" s="55"/>
      <c r="X46" s="56"/>
    </row>
    <row r="47" spans="2:24" x14ac:dyDescent="0.25">
      <c r="B47" s="55"/>
      <c r="F47" s="56"/>
      <c r="H47" s="55"/>
      <c r="L47" s="56"/>
      <c r="N47" s="55"/>
      <c r="R47" s="56"/>
      <c r="T47" s="55"/>
      <c r="X47" s="56"/>
    </row>
    <row r="48" spans="2:24" x14ac:dyDescent="0.25">
      <c r="B48" s="55"/>
      <c r="F48" s="56"/>
      <c r="H48" s="55"/>
      <c r="L48" s="56"/>
      <c r="N48" s="55"/>
      <c r="R48" s="56"/>
      <c r="T48" s="55"/>
      <c r="X48" s="56"/>
    </row>
    <row r="49" spans="2:24" x14ac:dyDescent="0.25">
      <c r="B49" s="55"/>
      <c r="F49" s="56"/>
      <c r="H49" s="55"/>
      <c r="L49" s="56"/>
      <c r="N49" s="55"/>
      <c r="R49" s="56"/>
      <c r="T49" s="55"/>
      <c r="X49" s="56"/>
    </row>
    <row r="50" spans="2:24" x14ac:dyDescent="0.25">
      <c r="B50" s="55"/>
      <c r="F50" s="56"/>
      <c r="H50" s="55"/>
      <c r="L50" s="56"/>
      <c r="N50" s="55"/>
      <c r="R50" s="56"/>
      <c r="T50" s="55"/>
      <c r="X50" s="56"/>
    </row>
    <row r="51" spans="2:24" x14ac:dyDescent="0.25">
      <c r="B51" s="55"/>
      <c r="F51" s="56"/>
      <c r="H51" s="55"/>
      <c r="L51" s="56"/>
      <c r="N51" s="55"/>
      <c r="R51" s="56"/>
      <c r="T51" s="55"/>
      <c r="X51" s="56"/>
    </row>
    <row r="52" spans="2:24" x14ac:dyDescent="0.25">
      <c r="B52" s="393" t="str">
        <f>HYPERLINK(CONCATENATE("https://www.demos24plus.com/product/",B38),CONCATENATE("https://www.demos24plus.com/product/",B38))</f>
        <v>https://www.demos24plus.com/product/405199</v>
      </c>
      <c r="C52" s="394"/>
      <c r="D52" s="394"/>
      <c r="E52" s="394"/>
      <c r="F52" s="395"/>
      <c r="H52" s="393" t="str">
        <f>HYPERLINK(CONCATENATE("https://www.demos24plus.com/product/",H38),CONCATENATE("https://www.demos24plus.com/product/",H38))</f>
        <v>https://www.demos24plus.com/product/405917</v>
      </c>
      <c r="I52" s="394"/>
      <c r="J52" s="394"/>
      <c r="K52" s="394"/>
      <c r="L52" s="395"/>
      <c r="N52" s="55"/>
      <c r="R52" s="56"/>
      <c r="T52" s="55"/>
      <c r="X52" s="56"/>
    </row>
    <row r="53" spans="2:24" x14ac:dyDescent="0.25">
      <c r="B53" s="393" t="str">
        <f>HYPERLINK(CONCATENATE("https://www.demos24plus.com/product/",B40),CONCATENATE("https://www.demos24plus.com/product/",B40))</f>
        <v>https://www.demos24plus.com/product/405200</v>
      </c>
      <c r="C53" s="394"/>
      <c r="D53" s="394"/>
      <c r="E53" s="394"/>
      <c r="F53" s="395"/>
      <c r="H53" s="393" t="str">
        <f>HYPERLINK(CONCATENATE("https://www.demos24plus.com/product/",H40),CONCATENATE("https://www.demos24plus.com/product/",H40))</f>
        <v>https://www.demos24plus.com/product/405918</v>
      </c>
      <c r="I53" s="394"/>
      <c r="J53" s="394"/>
      <c r="K53" s="394"/>
      <c r="L53" s="395"/>
      <c r="N53" s="393" t="str">
        <f>HYPERLINK(CONCATENATE("https://www.demos24plus.com/product/",N38),CONCATENATE("https://www.demos24plus.com/product/",N38))</f>
        <v>https://www.demos24plus.com/product/374370</v>
      </c>
      <c r="O53" s="394"/>
      <c r="P53" s="394"/>
      <c r="Q53" s="394"/>
      <c r="R53" s="395"/>
      <c r="T53" s="393" t="str">
        <f>HYPERLINK(CONCATENATE("https://www.demos24plus.com/product/",T38),CONCATENATE("https://www.demos24plus.com/product/",T38))</f>
        <v>https://www.demos24plus.com/product/405198</v>
      </c>
      <c r="U53" s="394"/>
      <c r="V53" s="394"/>
      <c r="W53" s="394"/>
      <c r="X53" s="395"/>
    </row>
    <row r="54" spans="2:24" x14ac:dyDescent="0.25">
      <c r="B54" s="414" t="str">
        <f>HYPERLINK(CONCATENATE("https://www.demos24plus.com/product/",B42),CONCATENATE("https://www.demos24plus.com/product/",B42))</f>
        <v>https://www.demos24plus.com/product/405201</v>
      </c>
      <c r="C54" s="415"/>
      <c r="D54" s="415"/>
      <c r="E54" s="415"/>
      <c r="F54" s="416"/>
      <c r="H54" s="63"/>
      <c r="I54" s="58"/>
      <c r="J54" s="58"/>
      <c r="K54" s="58"/>
      <c r="L54" s="59"/>
      <c r="N54" s="57"/>
      <c r="O54" s="58"/>
      <c r="P54" s="58"/>
      <c r="Q54" s="58"/>
      <c r="R54" s="59"/>
      <c r="T54" s="57"/>
      <c r="U54" s="58"/>
      <c r="V54" s="58"/>
      <c r="W54" s="58"/>
      <c r="X54" s="59"/>
    </row>
    <row r="55" spans="2:24" x14ac:dyDescent="0.25"/>
    <row r="56" spans="2:24" x14ac:dyDescent="0.25"/>
    <row r="57" spans="2:24" x14ac:dyDescent="0.25"/>
    <row r="58" spans="2:24" x14ac:dyDescent="0.25"/>
    <row r="59" spans="2:24" x14ac:dyDescent="0.25"/>
    <row r="60" spans="2:24" x14ac:dyDescent="0.25">
      <c r="B60" s="375" t="str">
        <f>Překlady!C103&amp;" "&amp;Překlady!C87&amp;" "&amp;Překlady!C93&amp;":"</f>
        <v>Přehled ovladačů bezdrátové kinetické:</v>
      </c>
      <c r="C60" s="376"/>
      <c r="D60" s="376"/>
      <c r="E60" s="376"/>
      <c r="F60" s="376"/>
      <c r="G60" s="376"/>
      <c r="H60" s="376"/>
      <c r="I60" s="376"/>
      <c r="J60" s="376"/>
      <c r="K60" s="376"/>
      <c r="L60" s="376"/>
      <c r="M60" s="376"/>
      <c r="N60" s="376"/>
      <c r="O60" s="376"/>
      <c r="P60" s="376"/>
      <c r="Q60" s="376"/>
      <c r="R60" s="376"/>
      <c r="S60" s="376"/>
      <c r="T60" s="376"/>
      <c r="U60" s="376"/>
      <c r="V60" s="376"/>
      <c r="W60" s="376"/>
      <c r="X60" s="377"/>
    </row>
    <row r="61" spans="2:24" x14ac:dyDescent="0.25">
      <c r="B61" s="378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  <c r="O61" s="379"/>
      <c r="P61" s="379"/>
      <c r="Q61" s="379"/>
      <c r="R61" s="379"/>
      <c r="S61" s="379"/>
      <c r="T61" s="379"/>
      <c r="U61" s="379"/>
      <c r="V61" s="379"/>
      <c r="W61" s="379"/>
      <c r="X61" s="380"/>
    </row>
    <row r="62" spans="2:24" x14ac:dyDescent="0.25">
      <c r="B62" s="52">
        <v>535065</v>
      </c>
      <c r="C62" s="387" t="str">
        <f>Produkty!B191</f>
        <v>StrongLumio bezdrátový vypínač samonapájecí kulatý bílý</v>
      </c>
      <c r="D62" s="388"/>
      <c r="E62" s="388"/>
      <c r="F62" s="388"/>
      <c r="G62" s="388"/>
      <c r="H62" s="388"/>
      <c r="I62" s="388"/>
      <c r="J62" s="388"/>
      <c r="K62" s="388"/>
      <c r="L62" s="388"/>
      <c r="M62" s="389"/>
      <c r="N62" s="52">
        <v>546642</v>
      </c>
      <c r="O62" s="387" t="str">
        <f>Produkty!B193</f>
        <v>StrongLumio bezdrátový vypínač samonapájecí 35mm k zafrézování bílý</v>
      </c>
      <c r="P62" s="388"/>
      <c r="Q62" s="388"/>
      <c r="R62" s="388"/>
      <c r="S62" s="388"/>
      <c r="T62" s="388"/>
      <c r="U62" s="388"/>
      <c r="V62" s="388"/>
      <c r="W62" s="388"/>
      <c r="X62" s="389"/>
    </row>
    <row r="63" spans="2:24" x14ac:dyDescent="0.25">
      <c r="B63" s="54">
        <v>535066</v>
      </c>
      <c r="C63" s="390" t="str">
        <f>Produkty!B192</f>
        <v>StrongLumio bezdrátový vypínač samonapájecí kulatý černý</v>
      </c>
      <c r="D63" s="391"/>
      <c r="E63" s="391"/>
      <c r="F63" s="391"/>
      <c r="G63" s="391"/>
      <c r="H63" s="391"/>
      <c r="I63" s="391"/>
      <c r="J63" s="391"/>
      <c r="K63" s="391"/>
      <c r="L63" s="391"/>
      <c r="M63" s="392"/>
      <c r="N63" s="54">
        <v>546647</v>
      </c>
      <c r="O63" s="390" t="str">
        <f>Produkty!B194</f>
        <v>StrongLumio bezdrátový vypínač samonapájecí 35mm k zafrézování černý</v>
      </c>
      <c r="P63" s="391"/>
      <c r="Q63" s="391"/>
      <c r="R63" s="391"/>
      <c r="S63" s="391"/>
      <c r="T63" s="391"/>
      <c r="U63" s="391"/>
      <c r="V63" s="391"/>
      <c r="W63" s="391"/>
      <c r="X63" s="392"/>
    </row>
    <row r="64" spans="2:24" x14ac:dyDescent="0.25">
      <c r="B64" s="55"/>
      <c r="M64" s="56"/>
      <c r="N64" s="61"/>
      <c r="O64" s="53"/>
      <c r="P64" s="53"/>
      <c r="Q64" s="53"/>
      <c r="R64" s="53"/>
      <c r="S64" s="53"/>
      <c r="T64" s="53"/>
      <c r="U64" s="53"/>
      <c r="V64" s="53"/>
      <c r="W64" s="53"/>
      <c r="X64" s="62"/>
    </row>
    <row r="65" spans="2:24" x14ac:dyDescent="0.25">
      <c r="B65" s="55"/>
      <c r="M65" s="56"/>
      <c r="N65" s="55"/>
      <c r="X65" s="56"/>
    </row>
    <row r="66" spans="2:24" x14ac:dyDescent="0.25">
      <c r="B66" s="55"/>
      <c r="M66" s="56"/>
      <c r="N66" s="55"/>
      <c r="X66" s="56"/>
    </row>
    <row r="67" spans="2:24" x14ac:dyDescent="0.25">
      <c r="B67" s="55"/>
      <c r="M67" s="56"/>
      <c r="N67" s="55"/>
      <c r="X67" s="56"/>
    </row>
    <row r="68" spans="2:24" x14ac:dyDescent="0.25">
      <c r="B68" s="55"/>
      <c r="M68" s="56"/>
      <c r="N68" s="55"/>
      <c r="X68" s="56"/>
    </row>
    <row r="69" spans="2:24" x14ac:dyDescent="0.25">
      <c r="B69" s="55"/>
      <c r="M69" s="56"/>
      <c r="N69" s="55"/>
      <c r="X69" s="56"/>
    </row>
    <row r="70" spans="2:24" x14ac:dyDescent="0.25">
      <c r="B70" s="55"/>
      <c r="M70" s="56"/>
      <c r="N70" s="55"/>
      <c r="X70" s="56"/>
    </row>
    <row r="71" spans="2:24" x14ac:dyDescent="0.25">
      <c r="B71" s="55"/>
      <c r="M71" s="56"/>
      <c r="N71" s="55"/>
      <c r="X71" s="56"/>
    </row>
    <row r="72" spans="2:24" x14ac:dyDescent="0.25">
      <c r="B72" s="55"/>
      <c r="M72" s="56"/>
      <c r="N72" s="55"/>
      <c r="X72" s="56"/>
    </row>
    <row r="73" spans="2:24" x14ac:dyDescent="0.25">
      <c r="B73" s="47" t="str">
        <f>HYPERLINK(CONCATENATE("https://www.demos24plus.com/product/",B62),CONCATENATE("https://www.demos24plus.com/product/",B62))</f>
        <v>https://www.demos24plus.com/product/535065</v>
      </c>
      <c r="M73" s="56"/>
      <c r="N73" s="48" t="str">
        <f>HYPERLINK(CONCATENATE("https://www.demos24plus.com/product/",N62),CONCATENATE("https://www.demos24plus.com/product/",N62))</f>
        <v>https://www.demos24plus.com/product/546642</v>
      </c>
      <c r="X73" s="56"/>
    </row>
    <row r="74" spans="2:24" x14ac:dyDescent="0.25">
      <c r="B74" s="47" t="str">
        <f>HYPERLINK(CONCATENATE("https://www.demos24plus.com/product/",B63),CONCATENATE("https://www.demos24plus.com/product/",B63))</f>
        <v>https://www.demos24plus.com/product/535066</v>
      </c>
      <c r="M74" s="56"/>
      <c r="N74" s="48" t="str">
        <f>HYPERLINK(CONCATENATE("https://www.demos24plus.com/product/",N63),CONCATENATE("https://www.demos24plus.com/product/",N63))</f>
        <v>https://www.demos24plus.com/product/546647</v>
      </c>
      <c r="X74" s="56"/>
    </row>
    <row r="75" spans="2:24" x14ac:dyDescent="0.25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9"/>
      <c r="N75" s="57"/>
      <c r="O75" s="58"/>
      <c r="P75" s="58"/>
      <c r="Q75" s="58"/>
      <c r="R75" s="58"/>
      <c r="S75" s="58"/>
      <c r="T75" s="58"/>
      <c r="U75" s="58"/>
      <c r="V75" s="58"/>
      <c r="W75" s="58"/>
      <c r="X75" s="59"/>
    </row>
    <row r="76" spans="2:24" x14ac:dyDescent="0.25">
      <c r="B76" s="52">
        <v>467125</v>
      </c>
      <c r="C76" s="61" t="str">
        <f>Produkty!B195</f>
        <v>StrongLumio bezdrátový vypínač samonapájecí - 1 tlačítko bílá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48" t="str">
        <f>HYPERLINK(CONCATENATE("https://www.demos24plus.com/product/",B76),CONCATENATE("https://www.demos24plus.com/product/",B76))</f>
        <v>https://www.demos24plus.com/product/467125</v>
      </c>
      <c r="V76" s="53"/>
      <c r="W76" s="53"/>
      <c r="X76" s="62"/>
    </row>
    <row r="77" spans="2:24" x14ac:dyDescent="0.25">
      <c r="B77" s="60">
        <v>491230</v>
      </c>
      <c r="C77" s="55" t="str">
        <f>Produkty!B196</f>
        <v>StrongLumio bezdrátový vypínač samonapájecí - 1 tlačítko černá</v>
      </c>
      <c r="T77" s="48" t="str">
        <f t="shared" ref="T77:T86" si="1">HYPERLINK(CONCATENATE("https://www.demos24plus.com/product/",B77),CONCATENATE("https://www.demos24plus.com/product/",B77))</f>
        <v>https://www.demos24plus.com/product/491230</v>
      </c>
      <c r="X77" s="56"/>
    </row>
    <row r="78" spans="2:24" x14ac:dyDescent="0.25">
      <c r="B78" s="60">
        <v>467129</v>
      </c>
      <c r="C78" s="55" t="str">
        <f>Produkty!B197</f>
        <v>StrongLumio bezdrátový vypínač samonapájecí - 1 tlačítko stříbrná</v>
      </c>
      <c r="T78" s="48" t="str">
        <f t="shared" si="1"/>
        <v>https://www.demos24plus.com/product/467129</v>
      </c>
      <c r="X78" s="56"/>
    </row>
    <row r="79" spans="2:24" x14ac:dyDescent="0.25">
      <c r="B79" s="60">
        <v>467128</v>
      </c>
      <c r="C79" s="55" t="str">
        <f>Produkty!B198</f>
        <v>StrongLumio bezdrátový vypínač samonapájecí - 1 tlačítko zlatá</v>
      </c>
      <c r="T79" s="48" t="str">
        <f t="shared" si="1"/>
        <v>https://www.demos24plus.com/product/467128</v>
      </c>
      <c r="X79" s="56"/>
    </row>
    <row r="80" spans="2:24" x14ac:dyDescent="0.25">
      <c r="B80" s="60">
        <v>467126</v>
      </c>
      <c r="C80" s="55" t="str">
        <f>Produkty!B199</f>
        <v>StrongLumio bezdrátový vypínač samonapájecí - 2 tlačítka bílá</v>
      </c>
      <c r="T80" s="48" t="str">
        <f t="shared" si="1"/>
        <v>https://www.demos24plus.com/product/467126</v>
      </c>
      <c r="X80" s="56"/>
    </row>
    <row r="81" spans="2:24" x14ac:dyDescent="0.25">
      <c r="B81" s="60">
        <v>491231</v>
      </c>
      <c r="C81" s="55" t="str">
        <f>Produkty!B200</f>
        <v>StrongLumio bezdrátový vypínač samonapájecí - 2 tlačítka černá</v>
      </c>
      <c r="T81" s="48" t="str">
        <f t="shared" si="1"/>
        <v>https://www.demos24plus.com/product/491231</v>
      </c>
      <c r="X81" s="56"/>
    </row>
    <row r="82" spans="2:24" x14ac:dyDescent="0.25">
      <c r="B82" s="60">
        <v>467131</v>
      </c>
      <c r="C82" s="55" t="str">
        <f>Produkty!B201</f>
        <v>StrongLumio bezdrátový vypínač samonapájecí - 2 tlačítka stříbrná</v>
      </c>
      <c r="T82" s="48" t="str">
        <f t="shared" si="1"/>
        <v>https://www.demos24plus.com/product/467131</v>
      </c>
      <c r="X82" s="56"/>
    </row>
    <row r="83" spans="2:24" x14ac:dyDescent="0.25">
      <c r="B83" s="60">
        <v>467130</v>
      </c>
      <c r="C83" s="55" t="str">
        <f>Produkty!B202</f>
        <v>StrongLumio bezdrátový vypínač samonapájecí - 2 tlačítka zlatá</v>
      </c>
      <c r="T83" s="48" t="str">
        <f t="shared" si="1"/>
        <v>https://www.demos24plus.com/product/467130</v>
      </c>
      <c r="X83" s="56"/>
    </row>
    <row r="84" spans="2:24" x14ac:dyDescent="0.25">
      <c r="B84" s="60">
        <v>467127</v>
      </c>
      <c r="C84" s="55" t="str">
        <f>Produkty!B203</f>
        <v>StrongLumio bezdrátový vypínač samonapájecí - 3 tlačítka bílá</v>
      </c>
      <c r="T84" s="48" t="str">
        <f t="shared" si="1"/>
        <v>https://www.demos24plus.com/product/467127</v>
      </c>
      <c r="X84" s="56"/>
    </row>
    <row r="85" spans="2:24" x14ac:dyDescent="0.25">
      <c r="B85" s="60">
        <v>491232</v>
      </c>
      <c r="C85" s="55" t="str">
        <f>Produkty!B204</f>
        <v>StrongLumio bezdrátový vypínač samonapájecí - 3 tlačítka černá</v>
      </c>
      <c r="T85" s="48" t="str">
        <f t="shared" si="1"/>
        <v>https://www.demos24plus.com/product/491232</v>
      </c>
      <c r="X85" s="56"/>
    </row>
    <row r="86" spans="2:24" x14ac:dyDescent="0.25">
      <c r="B86" s="54">
        <v>467132</v>
      </c>
      <c r="C86" s="57" t="str">
        <f>Produkty!B205</f>
        <v>StrongLumio bezdrátový vypínač samonapájecí - 3 tlačítka stříbrná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49" t="str">
        <f t="shared" si="1"/>
        <v>https://www.demos24plus.com/product/467132</v>
      </c>
      <c r="U86" s="58"/>
      <c r="V86" s="58"/>
      <c r="W86" s="58"/>
      <c r="X86" s="59"/>
    </row>
    <row r="87" spans="2:24" x14ac:dyDescent="0.25"/>
    <row r="99" spans="2:24" x14ac:dyDescent="0.25"/>
    <row r="100" spans="2:24" x14ac:dyDescent="0.25"/>
    <row r="101" spans="2:24" ht="15" customHeight="1" x14ac:dyDescent="0.25">
      <c r="B101" s="375" t="str">
        <f>Překlady!C103&amp;" "&amp;Překlady!C87&amp;" "&amp;Překlady!C94&amp;":"</f>
        <v>Přehled ovladačů bezdrátové na baterii:</v>
      </c>
      <c r="C101" s="376"/>
      <c r="D101" s="376"/>
      <c r="E101" s="376"/>
      <c r="F101" s="376"/>
      <c r="G101" s="376"/>
      <c r="H101" s="376"/>
      <c r="I101" s="376"/>
      <c r="J101" s="376"/>
      <c r="K101" s="376"/>
      <c r="L101" s="376"/>
      <c r="M101" s="376"/>
      <c r="N101" s="376"/>
      <c r="O101" s="376"/>
      <c r="P101" s="376"/>
      <c r="Q101" s="376"/>
      <c r="R101" s="376"/>
      <c r="S101" s="376"/>
      <c r="T101" s="376"/>
      <c r="U101" s="376"/>
      <c r="V101" s="376"/>
      <c r="W101" s="376"/>
      <c r="X101" s="377"/>
    </row>
    <row r="102" spans="2:24" x14ac:dyDescent="0.25">
      <c r="B102" s="378"/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  <c r="S102" s="379"/>
      <c r="T102" s="379"/>
      <c r="U102" s="379"/>
      <c r="V102" s="379"/>
      <c r="W102" s="379"/>
      <c r="X102" s="380"/>
    </row>
    <row r="103" spans="2:24" x14ac:dyDescent="0.25">
      <c r="B103" s="60">
        <v>467118</v>
      </c>
      <c r="C103" s="417" t="str">
        <f>Produkty!B220</f>
        <v>StrongLumio dálkový ovladač RF univerzální 2 v 1</v>
      </c>
      <c r="D103" s="418"/>
      <c r="E103" s="418"/>
      <c r="F103" s="419"/>
      <c r="G103" s="21"/>
      <c r="H103" s="60">
        <v>467120</v>
      </c>
      <c r="I103" s="420" t="str">
        <f>Produkty!B221</f>
        <v>StrongLumio dálkový ovladač otočný DIM/CCT/RGB/RGBW - 1 zóna</v>
      </c>
      <c r="J103" s="421"/>
      <c r="K103" s="421"/>
      <c r="L103" s="422"/>
      <c r="N103" s="60">
        <v>284572</v>
      </c>
      <c r="O103" s="420" t="str">
        <f>Produkty!B222</f>
        <v>StrongLumio Power dálkový ovladač/stmívač 1x25A</v>
      </c>
      <c r="P103" s="421"/>
      <c r="Q103" s="421"/>
      <c r="R103" s="422"/>
      <c r="T103" s="60">
        <v>223823</v>
      </c>
      <c r="U103" s="420" t="str">
        <f>Produkty!B223</f>
        <v>StrongLumio RF dálkový vypínač/stmívač 12V/24V</v>
      </c>
      <c r="V103" s="421"/>
      <c r="W103" s="421"/>
      <c r="X103" s="422"/>
    </row>
    <row r="104" spans="2:24" x14ac:dyDescent="0.25">
      <c r="B104" s="60"/>
      <c r="C104" s="417"/>
      <c r="D104" s="418"/>
      <c r="E104" s="418"/>
      <c r="F104" s="419"/>
      <c r="G104" s="21"/>
      <c r="H104" s="60"/>
      <c r="I104" s="420"/>
      <c r="J104" s="421"/>
      <c r="K104" s="421"/>
      <c r="L104" s="422"/>
      <c r="N104" s="60"/>
      <c r="O104" s="420"/>
      <c r="P104" s="421"/>
      <c r="Q104" s="421"/>
      <c r="R104" s="422"/>
      <c r="T104" s="60"/>
      <c r="U104" s="420"/>
      <c r="V104" s="421"/>
      <c r="W104" s="421"/>
      <c r="X104" s="422"/>
    </row>
    <row r="105" spans="2:24" x14ac:dyDescent="0.25">
      <c r="B105" s="61"/>
      <c r="C105" s="53"/>
      <c r="D105" s="53"/>
      <c r="E105" s="53"/>
      <c r="F105" s="62"/>
      <c r="G105" s="53"/>
      <c r="H105" s="61"/>
      <c r="I105" s="53"/>
      <c r="J105" s="53"/>
      <c r="K105" s="53"/>
      <c r="L105" s="62"/>
      <c r="M105" s="53"/>
      <c r="N105" s="61"/>
      <c r="O105" s="53"/>
      <c r="P105" s="53"/>
      <c r="Q105" s="53"/>
      <c r="R105" s="62"/>
      <c r="S105" s="53"/>
      <c r="T105" s="61"/>
      <c r="U105" s="53"/>
      <c r="V105" s="53"/>
      <c r="W105" s="53"/>
      <c r="X105" s="62"/>
    </row>
    <row r="106" spans="2:24" x14ac:dyDescent="0.25">
      <c r="B106" s="55"/>
      <c r="F106" s="56"/>
      <c r="H106" s="55"/>
      <c r="L106" s="56"/>
      <c r="N106" s="55"/>
      <c r="R106" s="56"/>
      <c r="T106" s="55"/>
      <c r="X106" s="56"/>
    </row>
    <row r="107" spans="2:24" x14ac:dyDescent="0.25">
      <c r="B107" s="55"/>
      <c r="F107" s="56"/>
      <c r="H107" s="55"/>
      <c r="L107" s="56"/>
      <c r="N107" s="55"/>
      <c r="R107" s="56"/>
      <c r="T107" s="55"/>
      <c r="X107" s="56"/>
    </row>
    <row r="108" spans="2:24" x14ac:dyDescent="0.25">
      <c r="B108" s="55"/>
      <c r="F108" s="56"/>
      <c r="H108" s="55"/>
      <c r="L108" s="56"/>
      <c r="N108" s="55"/>
      <c r="R108" s="56"/>
      <c r="T108" s="55"/>
      <c r="X108" s="56"/>
    </row>
    <row r="109" spans="2:24" x14ac:dyDescent="0.25">
      <c r="B109" s="55"/>
      <c r="F109" s="56"/>
      <c r="H109" s="55"/>
      <c r="L109" s="56"/>
      <c r="N109" s="55"/>
      <c r="R109" s="56"/>
      <c r="T109" s="55"/>
      <c r="X109" s="56"/>
    </row>
    <row r="110" spans="2:24" x14ac:dyDescent="0.25">
      <c r="B110" s="55"/>
      <c r="F110" s="56"/>
      <c r="H110" s="55"/>
      <c r="L110" s="56"/>
      <c r="N110" s="55"/>
      <c r="R110" s="56"/>
      <c r="T110" s="55"/>
      <c r="X110" s="56"/>
    </row>
    <row r="111" spans="2:24" x14ac:dyDescent="0.25">
      <c r="B111" s="55"/>
      <c r="F111" s="56"/>
      <c r="H111" s="55"/>
      <c r="L111" s="56"/>
      <c r="N111" s="55"/>
      <c r="R111" s="56"/>
      <c r="T111" s="55"/>
      <c r="X111" s="56"/>
    </row>
    <row r="112" spans="2:24" x14ac:dyDescent="0.25">
      <c r="B112" s="55"/>
      <c r="F112" s="56"/>
      <c r="H112" s="55"/>
      <c r="L112" s="56"/>
      <c r="N112" s="55"/>
      <c r="R112" s="56"/>
      <c r="T112" s="55"/>
      <c r="X112" s="56"/>
    </row>
    <row r="113" spans="2:24" x14ac:dyDescent="0.25">
      <c r="B113" s="55"/>
      <c r="F113" s="56"/>
      <c r="H113" s="55"/>
      <c r="L113" s="56"/>
      <c r="N113" s="55"/>
      <c r="R113" s="56"/>
      <c r="T113" s="55"/>
      <c r="X113" s="56"/>
    </row>
    <row r="114" spans="2:24" x14ac:dyDescent="0.25">
      <c r="B114" s="55"/>
      <c r="F114" s="56"/>
      <c r="H114" s="55"/>
      <c r="L114" s="56"/>
      <c r="N114" s="55"/>
      <c r="R114" s="56"/>
      <c r="T114" s="55"/>
      <c r="X114" s="56"/>
    </row>
    <row r="115" spans="2:24" x14ac:dyDescent="0.25">
      <c r="B115" s="55"/>
      <c r="F115" s="56"/>
      <c r="H115" s="55"/>
      <c r="L115" s="56"/>
      <c r="N115" s="55"/>
      <c r="R115" s="56"/>
      <c r="T115" s="55"/>
      <c r="X115" s="56"/>
    </row>
    <row r="116" spans="2:24" x14ac:dyDescent="0.25">
      <c r="B116" s="393" t="str">
        <f>HYPERLINK(CONCATENATE("https://www.demos24plus.com/product/",B103),CONCATENATE("https://www.demos24plus.com/product/",B103))</f>
        <v>https://www.demos24plus.com/product/467118</v>
      </c>
      <c r="C116" s="394"/>
      <c r="D116" s="394"/>
      <c r="E116" s="394"/>
      <c r="F116" s="395"/>
      <c r="H116" s="393" t="str">
        <f>HYPERLINK(CONCATENATE("https://www.demos24plus.com/product/",H103),CONCATENATE("https://www.demos24plus.com/product/",H103))</f>
        <v>https://www.demos24plus.com/product/467120</v>
      </c>
      <c r="I116" s="394"/>
      <c r="J116" s="394"/>
      <c r="K116" s="394"/>
      <c r="L116" s="395"/>
      <c r="N116" s="393" t="str">
        <f>HYPERLINK(CONCATENATE("https://www.demos24plus.com/product/",N103),CONCATENATE("https://www.demos24plus.com/product/",N103))</f>
        <v>https://www.demos24plus.com/product/284572</v>
      </c>
      <c r="O116" s="394"/>
      <c r="P116" s="394"/>
      <c r="Q116" s="394"/>
      <c r="R116" s="395"/>
      <c r="T116" s="393" t="str">
        <f>HYPERLINK(CONCATENATE("https://www.demos24plus.com/product/",T103),CONCATENATE("https://www.demos24plus.com/product/",T103))</f>
        <v>https://www.demos24plus.com/product/223823</v>
      </c>
      <c r="U116" s="394"/>
      <c r="V116" s="394"/>
      <c r="W116" s="394"/>
      <c r="X116" s="395"/>
    </row>
    <row r="117" spans="2:24" ht="15" customHeight="1" x14ac:dyDescent="0.25">
      <c r="B117" s="57"/>
      <c r="C117" s="58"/>
      <c r="D117" s="58"/>
      <c r="E117" s="58"/>
      <c r="F117" s="59"/>
      <c r="G117" s="58"/>
      <c r="H117" s="57"/>
      <c r="I117" s="58"/>
      <c r="J117" s="58"/>
      <c r="K117" s="58"/>
      <c r="L117" s="59"/>
      <c r="M117" s="58"/>
      <c r="N117" s="57"/>
      <c r="O117" s="58"/>
      <c r="P117" s="58"/>
      <c r="Q117" s="58"/>
      <c r="R117" s="59"/>
      <c r="S117" s="58"/>
      <c r="T117" s="57"/>
      <c r="U117" s="58"/>
      <c r="V117" s="58"/>
      <c r="W117" s="58"/>
      <c r="X117" s="59"/>
    </row>
    <row r="118" spans="2:24" x14ac:dyDescent="0.25"/>
    <row r="119" spans="2:24" ht="15" customHeight="1" x14ac:dyDescent="0.25">
      <c r="E119" s="52">
        <v>546601</v>
      </c>
      <c r="F119" s="407" t="str">
        <f>Produkty!B223</f>
        <v>StrongLumio RF dálkový vypínač/stmívač 12V/24V</v>
      </c>
      <c r="G119" s="408"/>
      <c r="H119" s="408"/>
      <c r="I119" s="408"/>
      <c r="J119" s="408"/>
      <c r="K119" s="408"/>
      <c r="L119" s="409"/>
      <c r="N119" s="52">
        <v>546612</v>
      </c>
      <c r="O119" s="407" t="str">
        <f>Produkty!B225</f>
        <v>StrongLumio bezdrátový nabíjecí dotykový vypínač/stmívač</v>
      </c>
      <c r="P119" s="408"/>
      <c r="Q119" s="408"/>
      <c r="R119" s="408"/>
      <c r="S119" s="408"/>
      <c r="T119" s="408"/>
      <c r="U119" s="409"/>
      <c r="V119" s="21"/>
    </row>
    <row r="120" spans="2:24" x14ac:dyDescent="0.25">
      <c r="E120" s="54"/>
      <c r="F120" s="410"/>
      <c r="G120" s="411"/>
      <c r="H120" s="411"/>
      <c r="I120" s="411"/>
      <c r="J120" s="411"/>
      <c r="K120" s="411"/>
      <c r="L120" s="412"/>
      <c r="N120" s="54"/>
      <c r="O120" s="410"/>
      <c r="P120" s="411"/>
      <c r="Q120" s="411"/>
      <c r="R120" s="411"/>
      <c r="S120" s="411"/>
      <c r="T120" s="411"/>
      <c r="U120" s="412"/>
      <c r="V120" s="21"/>
    </row>
    <row r="121" spans="2:24" x14ac:dyDescent="0.25">
      <c r="E121" s="61"/>
      <c r="F121" s="53"/>
      <c r="G121" s="53"/>
      <c r="H121" s="53"/>
      <c r="I121" s="53"/>
      <c r="J121" s="53"/>
      <c r="K121" s="53"/>
      <c r="L121" s="62"/>
      <c r="N121" s="61"/>
      <c r="O121" s="53"/>
      <c r="P121" s="53"/>
      <c r="Q121" s="53"/>
      <c r="R121" s="53"/>
      <c r="S121" s="53"/>
      <c r="T121" s="53"/>
      <c r="U121" s="62"/>
    </row>
    <row r="122" spans="2:24" x14ac:dyDescent="0.25">
      <c r="E122" s="55"/>
      <c r="L122" s="56"/>
      <c r="N122" s="55"/>
      <c r="U122" s="56"/>
    </row>
    <row r="123" spans="2:24" x14ac:dyDescent="0.25">
      <c r="E123" s="55"/>
      <c r="L123" s="56"/>
      <c r="N123" s="55"/>
      <c r="U123" s="56"/>
    </row>
    <row r="124" spans="2:24" x14ac:dyDescent="0.25">
      <c r="E124" s="55"/>
      <c r="L124" s="56"/>
      <c r="N124" s="55"/>
      <c r="U124" s="56"/>
    </row>
    <row r="125" spans="2:24" x14ac:dyDescent="0.25">
      <c r="E125" s="55"/>
      <c r="L125" s="56"/>
      <c r="N125" s="55"/>
      <c r="U125" s="56"/>
    </row>
    <row r="126" spans="2:24" x14ac:dyDescent="0.25">
      <c r="E126" s="55"/>
      <c r="L126" s="56"/>
      <c r="N126" s="55"/>
      <c r="U126" s="56"/>
    </row>
    <row r="127" spans="2:24" x14ac:dyDescent="0.25">
      <c r="E127" s="55"/>
      <c r="L127" s="56"/>
      <c r="N127" s="55"/>
      <c r="U127" s="56"/>
    </row>
    <row r="128" spans="2:24" x14ac:dyDescent="0.25">
      <c r="E128" s="55"/>
      <c r="L128" s="56"/>
      <c r="N128" s="55"/>
      <c r="U128" s="56"/>
    </row>
    <row r="129" spans="2:23" x14ac:dyDescent="0.25">
      <c r="E129" s="393" t="str">
        <f>HYPERLINK(CONCATENATE("https://www.demos24plus.com/product/",E119),CONCATENATE("https://www.demos24plus.com/product/",E119))</f>
        <v>https://www.demos24plus.com/product/546601</v>
      </c>
      <c r="F129" s="231"/>
      <c r="G129" s="231"/>
      <c r="H129" s="231"/>
      <c r="I129" s="231"/>
      <c r="J129" s="231"/>
      <c r="K129" s="231"/>
      <c r="L129" s="232"/>
      <c r="N129" s="55"/>
      <c r="U129" s="56"/>
    </row>
    <row r="130" spans="2:23" x14ac:dyDescent="0.25">
      <c r="E130" s="316"/>
      <c r="F130" s="231"/>
      <c r="G130" s="231"/>
      <c r="H130" s="231"/>
      <c r="I130" s="231"/>
      <c r="J130" s="231"/>
      <c r="K130" s="231"/>
      <c r="L130" s="232"/>
      <c r="N130" s="393" t="str">
        <f>HYPERLINK(CONCATENATE("https://www.demos24plus.com/product/",N119),CONCATENATE("https://www.demos24plus.com/product/",N119))</f>
        <v>https://www.demos24plus.com/product/546612</v>
      </c>
      <c r="O130" s="231"/>
      <c r="P130" s="231"/>
      <c r="Q130" s="231"/>
      <c r="R130" s="231"/>
      <c r="S130" s="231"/>
      <c r="T130" s="231"/>
      <c r="U130" s="232"/>
      <c r="V130" s="64"/>
    </row>
    <row r="131" spans="2:23" x14ac:dyDescent="0.25">
      <c r="E131" s="57"/>
      <c r="F131" s="58"/>
      <c r="G131" s="58"/>
      <c r="H131" s="58"/>
      <c r="I131" s="58"/>
      <c r="J131" s="58"/>
      <c r="K131" s="58"/>
      <c r="L131" s="59"/>
      <c r="N131" s="57"/>
      <c r="O131" s="58"/>
      <c r="P131" s="58"/>
      <c r="Q131" s="58"/>
      <c r="R131" s="58"/>
      <c r="S131" s="58"/>
      <c r="T131" s="58"/>
      <c r="U131" s="59"/>
    </row>
    <row r="132" spans="2:23" x14ac:dyDescent="0.25"/>
    <row r="133" spans="2:23" x14ac:dyDescent="0.25"/>
    <row r="134" spans="2:23" x14ac:dyDescent="0.25"/>
    <row r="135" spans="2:23" x14ac:dyDescent="0.25">
      <c r="B135" s="210" t="str">
        <f>Překlady!$C$11&amp;" 1"</f>
        <v>Sestava 1</v>
      </c>
      <c r="C135" s="210"/>
      <c r="D135" s="210"/>
      <c r="E135" s="210"/>
      <c r="H135" s="413" t="str">
        <f>Překlady!$C$11&amp;" 2"</f>
        <v>Sestava 2</v>
      </c>
      <c r="I135" s="413"/>
      <c r="J135" s="413"/>
      <c r="K135" s="413"/>
      <c r="N135" s="413" t="str">
        <f>Překlady!$C$11&amp;" 3"</f>
        <v>Sestava 3</v>
      </c>
      <c r="O135" s="413"/>
      <c r="P135" s="413"/>
      <c r="Q135" s="413"/>
      <c r="R135" s="50"/>
      <c r="T135" s="413" t="str">
        <f>Překlady!$C$11&amp;" 4"</f>
        <v>Sestava 4</v>
      </c>
      <c r="U135" s="413"/>
      <c r="V135" s="413"/>
      <c r="W135" s="413"/>
    </row>
    <row r="136" spans="2:23" x14ac:dyDescent="0.25">
      <c r="B136" s="210"/>
      <c r="C136" s="210"/>
      <c r="D136" s="210"/>
      <c r="E136" s="210"/>
      <c r="H136" s="413"/>
      <c r="I136" s="413"/>
      <c r="J136" s="413"/>
      <c r="K136" s="413"/>
      <c r="N136" s="413"/>
      <c r="O136" s="413"/>
      <c r="P136" s="413"/>
      <c r="Q136" s="413"/>
      <c r="R136" s="50"/>
      <c r="T136" s="413"/>
      <c r="U136" s="413"/>
      <c r="V136" s="413"/>
      <c r="W136" s="413"/>
    </row>
    <row r="137" spans="2:23" x14ac:dyDescent="0.25"/>
    <row r="138" spans="2:23" x14ac:dyDescent="0.25"/>
  </sheetData>
  <sheetProtection algorithmName="SHA-512" hashValue="XGyYyHzF1HCjnl1dLmj3ps0SByUJTJ4UaCvJHnxhJ5YKssDgGEvtVF9aeblnl4aIJJcYP0K2VUnWLSJS0L8NkA==" saltValue="rNx6jnqRbOXcYCz8BPDdhw==" spinCount="100000" sheet="1" objects="1" scenarios="1"/>
  <mergeCells count="58">
    <mergeCell ref="E2:U3"/>
    <mergeCell ref="V2:X3"/>
    <mergeCell ref="B5:E6"/>
    <mergeCell ref="H5:K6"/>
    <mergeCell ref="N5:Q6"/>
    <mergeCell ref="T5:W6"/>
    <mergeCell ref="T116:X116"/>
    <mergeCell ref="N116:R116"/>
    <mergeCell ref="H116:L116"/>
    <mergeCell ref="B116:F116"/>
    <mergeCell ref="B52:F52"/>
    <mergeCell ref="B53:F53"/>
    <mergeCell ref="B54:F54"/>
    <mergeCell ref="H52:L52"/>
    <mergeCell ref="H53:L53"/>
    <mergeCell ref="N53:R53"/>
    <mergeCell ref="T53:X53"/>
    <mergeCell ref="C103:F104"/>
    <mergeCell ref="I103:L104"/>
    <mergeCell ref="O103:R104"/>
    <mergeCell ref="U103:X104"/>
    <mergeCell ref="B60:X61"/>
    <mergeCell ref="F119:L120"/>
    <mergeCell ref="O119:U120"/>
    <mergeCell ref="B135:E136"/>
    <mergeCell ref="H135:K136"/>
    <mergeCell ref="N135:Q136"/>
    <mergeCell ref="T135:W136"/>
    <mergeCell ref="N130:U130"/>
    <mergeCell ref="E129:L130"/>
    <mergeCell ref="B9:X10"/>
    <mergeCell ref="B31:X32"/>
    <mergeCell ref="C38:F39"/>
    <mergeCell ref="C40:F41"/>
    <mergeCell ref="C42:F43"/>
    <mergeCell ref="I38:L39"/>
    <mergeCell ref="I40:L41"/>
    <mergeCell ref="O38:R39"/>
    <mergeCell ref="U38:X39"/>
    <mergeCell ref="R33:X33"/>
    <mergeCell ref="R34:X34"/>
    <mergeCell ref="R35:X35"/>
    <mergeCell ref="R25:X25"/>
    <mergeCell ref="R26:X26"/>
    <mergeCell ref="R27:X27"/>
    <mergeCell ref="T22:X22"/>
    <mergeCell ref="B101:X102"/>
    <mergeCell ref="C11:F12"/>
    <mergeCell ref="I11:L12"/>
    <mergeCell ref="O11:R12"/>
    <mergeCell ref="U11:X12"/>
    <mergeCell ref="C62:M62"/>
    <mergeCell ref="C63:M63"/>
    <mergeCell ref="O62:X62"/>
    <mergeCell ref="O63:X63"/>
    <mergeCell ref="N22:R22"/>
    <mergeCell ref="H22:L22"/>
    <mergeCell ref="B22:F22"/>
  </mergeCells>
  <hyperlinks>
    <hyperlink ref="B5:E6" location="Sestava1!A1" display="Sestava1!A1" xr:uid="{09CE10FC-9850-4024-8609-8F9F9DD68C88}"/>
    <hyperlink ref="B135:E136" location="Sestava1!B106" display="Sestava1!B106" xr:uid="{66C9D685-488D-489A-87E7-2A2CAA1F3886}"/>
    <hyperlink ref="V2:X3" location="Úvod!A1" display="Úvod!A1" xr:uid="{1F4B15A1-7360-4C14-B46B-68D13855F324}"/>
    <hyperlink ref="H5:K6" location="Sestava2!A1" display="Sestava2!A1" xr:uid="{C80A0BE9-C952-49AD-9515-AFC5A0AD2853}"/>
    <hyperlink ref="N5:Q6" location="Sestava3!A1" display="Sestava3!A1" xr:uid="{605F23FC-9E0E-46BC-B041-B5D12D08506E}"/>
    <hyperlink ref="T5:W6" location="Sestava4!A1" display="Sestava4!A1" xr:uid="{163028F9-4E95-436A-AF21-912BA532EAB6}"/>
    <hyperlink ref="H135:K136" location="Sestava2!B106" display="Sestava2!B106" xr:uid="{CA232720-1BE5-4541-898B-C2EC658A1155}"/>
    <hyperlink ref="N135:Q136" location="Sestava3!B106" display="Sestava3!B106" xr:uid="{2FCB5D20-82AA-492F-8899-AFF533996708}"/>
    <hyperlink ref="T135:W136" location="Sestava4!B106" display="Sestava4!B106" xr:uid="{1DA12D9F-F4A6-45A9-84A3-5F9DA0305782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0783-C0DD-43B7-BCD5-246699835D43}">
  <sheetPr codeName="List9"/>
  <dimension ref="A1:X247"/>
  <sheetViews>
    <sheetView topLeftCell="H1" workbookViewId="0">
      <selection activeCell="Q4" sqref="Q4"/>
    </sheetView>
  </sheetViews>
  <sheetFormatPr defaultRowHeight="15" x14ac:dyDescent="0.25"/>
  <cols>
    <col min="1" max="1" width="102" customWidth="1"/>
    <col min="2" max="2" width="91" customWidth="1"/>
    <col min="3" max="3" width="12" bestFit="1" customWidth="1"/>
    <col min="4" max="4" width="62.28515625" customWidth="1"/>
    <col min="5" max="5" width="19.28515625" customWidth="1"/>
    <col min="6" max="6" width="16.28515625" customWidth="1"/>
    <col min="7" max="7" width="18.7109375" customWidth="1"/>
    <col min="8" max="8" width="24" customWidth="1"/>
    <col min="9" max="10" width="8.85546875" customWidth="1"/>
    <col min="11" max="11" width="14" customWidth="1"/>
    <col min="12" max="12" width="16.7109375" customWidth="1"/>
    <col min="15" max="15" width="20.85546875" customWidth="1"/>
    <col min="17" max="17" width="11.7109375" bestFit="1" customWidth="1"/>
    <col min="21" max="21" width="14" bestFit="1" customWidth="1"/>
  </cols>
  <sheetData>
    <row r="1" spans="1:24" x14ac:dyDescent="0.25">
      <c r="A1" t="s">
        <v>208</v>
      </c>
      <c r="D1">
        <f>Úvod!O30</f>
        <v>1</v>
      </c>
    </row>
    <row r="2" spans="1:24" x14ac:dyDescent="0.25">
      <c r="A2" t="s">
        <v>209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s="11" t="s">
        <v>210</v>
      </c>
      <c r="K2" t="s">
        <v>211</v>
      </c>
      <c r="L2" t="s">
        <v>212</v>
      </c>
      <c r="M2" t="s">
        <v>213</v>
      </c>
      <c r="N2" t="s">
        <v>209</v>
      </c>
      <c r="O2" t="s">
        <v>214</v>
      </c>
      <c r="Q2" t="s">
        <v>215</v>
      </c>
      <c r="R2" t="s">
        <v>216</v>
      </c>
      <c r="U2" t="s">
        <v>217</v>
      </c>
      <c r="V2" t="s">
        <v>218</v>
      </c>
      <c r="W2" t="s">
        <v>219</v>
      </c>
      <c r="X2" t="s">
        <v>220</v>
      </c>
    </row>
    <row r="3" spans="1:24" x14ac:dyDescent="0.25">
      <c r="A3" t="str">
        <f>CONCATENATE(B3,"_",N3)</f>
        <v>StrongLumio profil LED Begton 12, bílá lak_2000</v>
      </c>
      <c r="B3" t="str">
        <f>IF($D$1=1,D:D,IF($D$1=2,E:E,IF($D$1=3,F:F,IF($D$1=4,G:G,IF($D$1=5,H:H)))))</f>
        <v>StrongLumio profil LED Begton 12, bílá lak</v>
      </c>
      <c r="C3" s="11" t="s">
        <v>221</v>
      </c>
      <c r="D3" s="11" t="s">
        <v>222</v>
      </c>
      <c r="E3" s="11" t="s">
        <v>223</v>
      </c>
      <c r="F3" s="11" t="s">
        <v>224</v>
      </c>
      <c r="G3" s="11" t="s">
        <v>225</v>
      </c>
      <c r="H3" s="11" t="s">
        <v>226</v>
      </c>
      <c r="J3" s="11" t="s">
        <v>227</v>
      </c>
      <c r="K3" t="str">
        <f>Překlady!$C$42</f>
        <v>povrchová</v>
      </c>
      <c r="L3" t="str">
        <f>Překlady!$C$50</f>
        <v>bílá</v>
      </c>
      <c r="M3">
        <v>12</v>
      </c>
      <c r="N3">
        <v>2000</v>
      </c>
      <c r="O3" t="s">
        <v>228</v>
      </c>
      <c r="Q3" s="35" t="s">
        <v>229</v>
      </c>
      <c r="U3">
        <v>2000</v>
      </c>
      <c r="V3">
        <v>3000</v>
      </c>
      <c r="W3">
        <v>4050</v>
      </c>
    </row>
    <row r="4" spans="1:24" x14ac:dyDescent="0.25">
      <c r="A4" t="str">
        <f>CONCATENATE(B4,"_",N4)</f>
        <v>StrongLumio profil LED Surface 10, bílá lak_2000</v>
      </c>
      <c r="B4" t="str">
        <f>IF($D$1=1,D:D,IF($D$1=2,E:E,IF($D$1=3,F:F,IF($D$1=4,G:G,IF($D$1=5,H:H)))))</f>
        <v>StrongLumio profil LED Surface 10, bílá lak</v>
      </c>
      <c r="C4" s="11" t="s">
        <v>230</v>
      </c>
      <c r="D4" s="11" t="s">
        <v>231</v>
      </c>
      <c r="E4" s="11" t="s">
        <v>232</v>
      </c>
      <c r="F4" s="11" t="s">
        <v>233</v>
      </c>
      <c r="G4" s="11" t="s">
        <v>234</v>
      </c>
      <c r="H4" s="11" t="s">
        <v>235</v>
      </c>
      <c r="J4" s="11" t="s">
        <v>227</v>
      </c>
      <c r="K4" t="str">
        <f>Překlady!$C$42</f>
        <v>povrchová</v>
      </c>
      <c r="L4" t="str">
        <f>Překlady!$C$50</f>
        <v>bílá</v>
      </c>
      <c r="M4">
        <v>10</v>
      </c>
      <c r="N4">
        <v>2000</v>
      </c>
      <c r="O4" t="s">
        <v>228</v>
      </c>
      <c r="Q4" s="35" t="s">
        <v>236</v>
      </c>
      <c r="U4">
        <v>1000</v>
      </c>
      <c r="V4">
        <v>2000</v>
      </c>
      <c r="W4">
        <v>3000</v>
      </c>
      <c r="X4">
        <v>4050</v>
      </c>
    </row>
    <row r="5" spans="1:24" x14ac:dyDescent="0.25">
      <c r="A5" t="str">
        <f>CONCATENATE(B5,"_",N5)</f>
        <v>StrongLumio profil LED Surface 10, bílá lak_3000</v>
      </c>
      <c r="B5" t="str">
        <f>IF($D$1=1,D:D,IF($D$1=2,E:E,IF($D$1=3,F:F,IF($D$1=4,G:G,IF($D$1=5,H:H)))))</f>
        <v>StrongLumio profil LED Surface 10, bílá lak</v>
      </c>
      <c r="C5" s="11" t="s">
        <v>237</v>
      </c>
      <c r="D5" s="11" t="s">
        <v>231</v>
      </c>
      <c r="E5" s="11" t="s">
        <v>232</v>
      </c>
      <c r="F5" s="11" t="s">
        <v>233</v>
      </c>
      <c r="G5" s="11" t="s">
        <v>234</v>
      </c>
      <c r="H5" s="11" t="s">
        <v>235</v>
      </c>
      <c r="J5" s="11" t="s">
        <v>227</v>
      </c>
      <c r="K5" t="str">
        <f>Překlady!$C$42</f>
        <v>povrchová</v>
      </c>
      <c r="L5" t="str">
        <f>Překlady!$C$50</f>
        <v>bílá</v>
      </c>
      <c r="M5">
        <v>10</v>
      </c>
      <c r="N5">
        <v>3000</v>
      </c>
      <c r="O5" t="s">
        <v>238</v>
      </c>
      <c r="Q5" s="35" t="s">
        <v>236</v>
      </c>
      <c r="U5">
        <v>1000</v>
      </c>
      <c r="V5">
        <v>2000</v>
      </c>
      <c r="W5">
        <v>3000</v>
      </c>
      <c r="X5">
        <v>4050</v>
      </c>
    </row>
    <row r="7" spans="1:24" x14ac:dyDescent="0.25">
      <c r="A7" t="str">
        <f>CONCATENATE(B7,"_",N7)</f>
        <v>StrongLumio profil LED Begton 12, černá elox_2000</v>
      </c>
      <c r="B7" t="str">
        <f>IF($D$1=1,D:D,IF($D$1=2,E:E,IF($D$1=3,F:F,IF($D$1=4,G:G,IF($D$1=5,H:H)))))</f>
        <v>StrongLumio profil LED Begton 12, černá elox</v>
      </c>
      <c r="C7" s="11" t="s">
        <v>239</v>
      </c>
      <c r="D7" s="11" t="s">
        <v>240</v>
      </c>
      <c r="E7" s="11" t="s">
        <v>241</v>
      </c>
      <c r="F7" s="11" t="s">
        <v>242</v>
      </c>
      <c r="G7" s="11" t="s">
        <v>243</v>
      </c>
      <c r="H7" s="11" t="s">
        <v>244</v>
      </c>
      <c r="J7" s="11" t="s">
        <v>227</v>
      </c>
      <c r="K7" t="str">
        <f>Překlady!$C$42</f>
        <v>povrchová</v>
      </c>
      <c r="L7" t="str">
        <f>Překlady!$C$51</f>
        <v>černá</v>
      </c>
      <c r="M7">
        <v>12</v>
      </c>
      <c r="N7">
        <v>2000</v>
      </c>
      <c r="O7" t="s">
        <v>228</v>
      </c>
      <c r="Q7" s="35" t="s">
        <v>245</v>
      </c>
      <c r="U7">
        <v>2000</v>
      </c>
    </row>
    <row r="8" spans="1:24" x14ac:dyDescent="0.25">
      <c r="A8" t="str">
        <f>CONCATENATE(B8,"_",N8)</f>
        <v>StrongLumio profil LED Surface 10, černá elox_2000</v>
      </c>
      <c r="B8" t="str">
        <f>IF($D$1=1,D:D,IF($D$1=2,E:E,IF($D$1=3,F:F,IF($D$1=4,G:G,IF($D$1=5,H:H)))))</f>
        <v>StrongLumio profil LED Surface 10, černá elox</v>
      </c>
      <c r="C8" s="11" t="s">
        <v>246</v>
      </c>
      <c r="D8" s="11" t="s">
        <v>247</v>
      </c>
      <c r="E8" s="11" t="s">
        <v>248</v>
      </c>
      <c r="F8" s="11" t="s">
        <v>249</v>
      </c>
      <c r="G8" s="11" t="s">
        <v>250</v>
      </c>
      <c r="H8" s="11" t="s">
        <v>251</v>
      </c>
      <c r="J8" s="11" t="s">
        <v>227</v>
      </c>
      <c r="K8" t="str">
        <f>Překlady!$C$42</f>
        <v>povrchová</v>
      </c>
      <c r="L8" t="str">
        <f>Překlady!$C$51</f>
        <v>černá</v>
      </c>
      <c r="M8">
        <v>10</v>
      </c>
      <c r="N8">
        <v>2000</v>
      </c>
      <c r="O8" t="s">
        <v>228</v>
      </c>
      <c r="Q8" s="35" t="s">
        <v>252</v>
      </c>
      <c r="U8">
        <v>1000</v>
      </c>
      <c r="V8">
        <v>2000</v>
      </c>
      <c r="W8">
        <v>3000</v>
      </c>
      <c r="X8">
        <v>4050</v>
      </c>
    </row>
    <row r="9" spans="1:24" x14ac:dyDescent="0.25">
      <c r="A9" t="str">
        <f>CONCATENATE(B9,"_",N9)</f>
        <v>StrongLumio profil LED Surface 10, černá elox_3000</v>
      </c>
      <c r="B9" t="str">
        <f>IF($D$1=1,D:D,IF($D$1=2,E:E,IF($D$1=3,F:F,IF($D$1=4,G:G,IF($D$1=5,H:H)))))</f>
        <v>StrongLumio profil LED Surface 10, černá elox</v>
      </c>
      <c r="C9" s="11" t="s">
        <v>253</v>
      </c>
      <c r="D9" s="11" t="s">
        <v>247</v>
      </c>
      <c r="E9" s="11" t="s">
        <v>248</v>
      </c>
      <c r="F9" s="11" t="s">
        <v>254</v>
      </c>
      <c r="G9" s="11" t="s">
        <v>250</v>
      </c>
      <c r="H9" s="11" t="s">
        <v>251</v>
      </c>
      <c r="J9" s="11" t="s">
        <v>227</v>
      </c>
      <c r="K9" t="str">
        <f>Překlady!$C$42</f>
        <v>povrchová</v>
      </c>
      <c r="L9" t="str">
        <f>Překlady!$C$51</f>
        <v>černá</v>
      </c>
      <c r="M9">
        <v>10</v>
      </c>
      <c r="N9">
        <v>3000</v>
      </c>
      <c r="O9" t="s">
        <v>238</v>
      </c>
      <c r="Q9" s="35" t="s">
        <v>252</v>
      </c>
      <c r="U9">
        <v>1000</v>
      </c>
      <c r="V9">
        <v>2000</v>
      </c>
      <c r="W9">
        <v>3000</v>
      </c>
      <c r="X9">
        <v>4050</v>
      </c>
    </row>
    <row r="10" spans="1:24" x14ac:dyDescent="0.25">
      <c r="A10" t="str">
        <f>CONCATENATE(B10,"_",N10)</f>
        <v>StrongLumio profil LED Surface 10, černá elox_4050</v>
      </c>
      <c r="B10" t="str">
        <f>IF($D$1=1,D:D,IF($D$1=2,E:E,IF($D$1=3,F:F,IF($D$1=4,G:G,IF($D$1=5,H:H)))))</f>
        <v>StrongLumio profil LED Surface 10, černá elox</v>
      </c>
      <c r="C10" s="11" t="s">
        <v>255</v>
      </c>
      <c r="D10" s="11" t="s">
        <v>247</v>
      </c>
      <c r="E10" s="11" t="s">
        <v>248</v>
      </c>
      <c r="F10" s="11" t="s">
        <v>254</v>
      </c>
      <c r="G10" s="11" t="s">
        <v>250</v>
      </c>
      <c r="H10" s="11" t="s">
        <v>256</v>
      </c>
      <c r="J10" s="11" t="s">
        <v>227</v>
      </c>
      <c r="K10" t="str">
        <f>Překlady!$C$42</f>
        <v>povrchová</v>
      </c>
      <c r="L10" t="str">
        <f>Překlady!$C$51</f>
        <v>černá</v>
      </c>
      <c r="M10">
        <v>10</v>
      </c>
      <c r="N10">
        <v>4050</v>
      </c>
      <c r="O10" t="s">
        <v>257</v>
      </c>
      <c r="Q10" s="35" t="s">
        <v>252</v>
      </c>
      <c r="U10">
        <v>1000</v>
      </c>
      <c r="V10">
        <v>2000</v>
      </c>
      <c r="W10">
        <v>3000</v>
      </c>
      <c r="X10">
        <v>4050</v>
      </c>
    </row>
    <row r="12" spans="1:24" x14ac:dyDescent="0.25">
      <c r="A12" t="str">
        <f t="shared" ref="A12:A17" si="0">CONCATENATE(B12,"_",N12)</f>
        <v>StrongLumio profil LED Begton 12, stříbrná elox_2000</v>
      </c>
      <c r="B12" t="str">
        <f t="shared" ref="B12:B17" si="1">IF($D$1=1,D:D,IF($D$1=2,E:E,IF($D$1=3,F:F,IF($D$1=4,G:G,IF($D$1=5,H:H)))))</f>
        <v>StrongLumio profil LED Begton 12, stříbrná elox</v>
      </c>
      <c r="C12" s="11" t="s">
        <v>258</v>
      </c>
      <c r="D12" s="11" t="s">
        <v>259</v>
      </c>
      <c r="E12" s="11" t="s">
        <v>260</v>
      </c>
      <c r="F12" s="11" t="s">
        <v>261</v>
      </c>
      <c r="G12" s="11" t="s">
        <v>262</v>
      </c>
      <c r="H12" s="11" t="s">
        <v>263</v>
      </c>
      <c r="J12" s="11" t="s">
        <v>227</v>
      </c>
      <c r="K12" t="str">
        <f>Překlady!$C$42</f>
        <v>povrchová</v>
      </c>
      <c r="L12" t="str">
        <f>Překlady!$C$52</f>
        <v>stříbrná</v>
      </c>
      <c r="M12">
        <v>12</v>
      </c>
      <c r="N12">
        <v>2000</v>
      </c>
      <c r="O12" t="s">
        <v>228</v>
      </c>
      <c r="Q12" s="35" t="s">
        <v>264</v>
      </c>
      <c r="U12">
        <v>2000</v>
      </c>
      <c r="V12">
        <v>3000</v>
      </c>
      <c r="W12">
        <v>4050</v>
      </c>
    </row>
    <row r="13" spans="1:24" x14ac:dyDescent="0.25">
      <c r="A13" t="str">
        <f t="shared" si="0"/>
        <v>StrongLumio profil LED Begton 12, stříbrná elox_3000</v>
      </c>
      <c r="B13" t="str">
        <f t="shared" si="1"/>
        <v>StrongLumio profil LED Begton 12, stříbrná elox</v>
      </c>
      <c r="C13" s="11" t="s">
        <v>265</v>
      </c>
      <c r="D13" s="11" t="s">
        <v>259</v>
      </c>
      <c r="E13" s="11" t="s">
        <v>260</v>
      </c>
      <c r="F13" s="11" t="s">
        <v>261</v>
      </c>
      <c r="G13" s="11" t="s">
        <v>262</v>
      </c>
      <c r="H13" s="11" t="s">
        <v>263</v>
      </c>
      <c r="J13" s="11" t="s">
        <v>227</v>
      </c>
      <c r="K13" t="str">
        <f>Překlady!$C$42</f>
        <v>povrchová</v>
      </c>
      <c r="L13" t="str">
        <f>Překlady!$C$52</f>
        <v>stříbrná</v>
      </c>
      <c r="M13">
        <v>12</v>
      </c>
      <c r="N13">
        <v>3000</v>
      </c>
      <c r="O13" t="s">
        <v>238</v>
      </c>
      <c r="Q13" s="35" t="s">
        <v>264</v>
      </c>
    </row>
    <row r="14" spans="1:24" x14ac:dyDescent="0.25">
      <c r="A14" t="str">
        <f t="shared" si="0"/>
        <v>StrongLumio profil LED Surface 10, stříbrná elox_1000</v>
      </c>
      <c r="B14" t="str">
        <f t="shared" si="1"/>
        <v>StrongLumio profil LED Surface 10, stříbrná elox</v>
      </c>
      <c r="C14" s="11" t="s">
        <v>266</v>
      </c>
      <c r="D14" s="11" t="s">
        <v>267</v>
      </c>
      <c r="E14" s="11" t="s">
        <v>268</v>
      </c>
      <c r="F14" s="11" t="s">
        <v>269</v>
      </c>
      <c r="G14" s="11" t="s">
        <v>270</v>
      </c>
      <c r="H14" s="11" t="s">
        <v>271</v>
      </c>
      <c r="J14" s="11" t="s">
        <v>227</v>
      </c>
      <c r="K14" t="str">
        <f>Překlady!$C$42</f>
        <v>povrchová</v>
      </c>
      <c r="L14" t="str">
        <f>Překlady!$C$52</f>
        <v>stříbrná</v>
      </c>
      <c r="M14">
        <v>10</v>
      </c>
      <c r="N14">
        <v>1000</v>
      </c>
      <c r="O14" t="s">
        <v>272</v>
      </c>
      <c r="Q14" s="35" t="s">
        <v>273</v>
      </c>
      <c r="U14">
        <v>1000</v>
      </c>
      <c r="V14">
        <v>2000</v>
      </c>
      <c r="W14">
        <v>3000</v>
      </c>
      <c r="X14">
        <v>4050</v>
      </c>
    </row>
    <row r="15" spans="1:24" x14ac:dyDescent="0.25">
      <c r="A15" t="str">
        <f t="shared" si="0"/>
        <v>StrongLumio profil LED Surface 10, stříbrná elox_2000</v>
      </c>
      <c r="B15" t="str">
        <f t="shared" si="1"/>
        <v>StrongLumio profil LED Surface 10, stříbrná elox</v>
      </c>
      <c r="C15" s="11" t="s">
        <v>274</v>
      </c>
      <c r="D15" s="11" t="s">
        <v>267</v>
      </c>
      <c r="E15" s="11" t="s">
        <v>268</v>
      </c>
      <c r="F15" s="11" t="s">
        <v>269</v>
      </c>
      <c r="G15" s="11" t="s">
        <v>275</v>
      </c>
      <c r="H15" s="11" t="s">
        <v>271</v>
      </c>
      <c r="J15" s="11" t="s">
        <v>276</v>
      </c>
      <c r="K15" t="str">
        <f>Překlady!$C$42</f>
        <v>povrchová</v>
      </c>
      <c r="L15" t="str">
        <f>Překlady!$C$52</f>
        <v>stříbrná</v>
      </c>
      <c r="M15">
        <v>10</v>
      </c>
      <c r="N15">
        <v>2000</v>
      </c>
      <c r="O15" t="s">
        <v>228</v>
      </c>
      <c r="Q15" s="35" t="s">
        <v>273</v>
      </c>
      <c r="U15">
        <v>1000</v>
      </c>
      <c r="V15">
        <v>2000</v>
      </c>
      <c r="W15">
        <v>3000</v>
      </c>
      <c r="X15">
        <v>4050</v>
      </c>
    </row>
    <row r="16" spans="1:24" x14ac:dyDescent="0.25">
      <c r="A16" t="str">
        <f t="shared" si="0"/>
        <v>StrongLumio profil LED Surface 10, stříbrná elox_3000</v>
      </c>
      <c r="B16" t="str">
        <f t="shared" si="1"/>
        <v>StrongLumio profil LED Surface 10, stříbrná elox</v>
      </c>
      <c r="C16" s="11" t="s">
        <v>277</v>
      </c>
      <c r="D16" s="11" t="s">
        <v>267</v>
      </c>
      <c r="E16" s="11" t="s">
        <v>268</v>
      </c>
      <c r="F16" s="11" t="s">
        <v>269</v>
      </c>
      <c r="G16" s="11" t="s">
        <v>275</v>
      </c>
      <c r="H16" s="11" t="s">
        <v>271</v>
      </c>
      <c r="J16" s="11" t="s">
        <v>227</v>
      </c>
      <c r="K16" t="str">
        <f>Překlady!$C$42</f>
        <v>povrchová</v>
      </c>
      <c r="L16" t="str">
        <f>Překlady!$C$52</f>
        <v>stříbrná</v>
      </c>
      <c r="M16">
        <v>10</v>
      </c>
      <c r="N16">
        <v>3000</v>
      </c>
      <c r="O16" t="s">
        <v>238</v>
      </c>
      <c r="Q16" s="35" t="s">
        <v>273</v>
      </c>
      <c r="U16">
        <v>1000</v>
      </c>
      <c r="V16">
        <v>2000</v>
      </c>
      <c r="W16">
        <v>3000</v>
      </c>
      <c r="X16">
        <v>4050</v>
      </c>
    </row>
    <row r="17" spans="1:24" x14ac:dyDescent="0.25">
      <c r="A17" t="str">
        <f t="shared" si="0"/>
        <v>StrongLumio profil LED Surface 10, stříbrná elox_4050</v>
      </c>
      <c r="B17" t="str">
        <f t="shared" si="1"/>
        <v>StrongLumio profil LED Surface 10, stříbrná elox</v>
      </c>
      <c r="C17" s="11" t="s">
        <v>278</v>
      </c>
      <c r="D17" s="11" t="s">
        <v>267</v>
      </c>
      <c r="E17" s="11" t="s">
        <v>268</v>
      </c>
      <c r="F17" s="11" t="s">
        <v>269</v>
      </c>
      <c r="G17" s="11" t="s">
        <v>275</v>
      </c>
      <c r="H17" s="11" t="s">
        <v>271</v>
      </c>
      <c r="J17" s="11" t="s">
        <v>227</v>
      </c>
      <c r="K17" t="str">
        <f>Překlady!$C$42</f>
        <v>povrchová</v>
      </c>
      <c r="L17" t="str">
        <f>Překlady!$C$52</f>
        <v>stříbrná</v>
      </c>
      <c r="M17">
        <v>10</v>
      </c>
      <c r="N17">
        <v>4050</v>
      </c>
      <c r="O17" t="s">
        <v>257</v>
      </c>
      <c r="Q17" s="35" t="s">
        <v>273</v>
      </c>
      <c r="U17">
        <v>1000</v>
      </c>
      <c r="V17">
        <v>2000</v>
      </c>
      <c r="W17">
        <v>3000</v>
      </c>
      <c r="X17">
        <v>4050</v>
      </c>
    </row>
    <row r="19" spans="1:24" x14ac:dyDescent="0.25">
      <c r="A19" t="str">
        <f>CONCATENATE(B19,"_",N19)</f>
        <v>StrongLumio profil LED Begtin 12, bílá lak_2000</v>
      </c>
      <c r="B19" t="str">
        <f>IF($D$1=1,D:D,IF($D$1=2,E:E,IF($D$1=3,F:F,IF($D$1=4,G:G,IF($D$1=5,H:H)))))</f>
        <v>StrongLumio profil LED Begtin 12, bílá lak</v>
      </c>
      <c r="C19" s="11" t="s">
        <v>279</v>
      </c>
      <c r="D19" s="11" t="s">
        <v>280</v>
      </c>
      <c r="E19" s="11" t="s">
        <v>281</v>
      </c>
      <c r="F19" s="11" t="s">
        <v>282</v>
      </c>
      <c r="G19" s="11" t="s">
        <v>283</v>
      </c>
      <c r="H19" s="11" t="s">
        <v>284</v>
      </c>
      <c r="J19" s="11" t="s">
        <v>227</v>
      </c>
      <c r="K19" t="str">
        <f>Překlady!$C$43</f>
        <v>k zafrézování</v>
      </c>
      <c r="L19" t="str">
        <f>Překlady!$C$50</f>
        <v>bílá</v>
      </c>
      <c r="M19">
        <v>12</v>
      </c>
      <c r="N19">
        <v>2000</v>
      </c>
      <c r="O19" t="s">
        <v>285</v>
      </c>
      <c r="Q19" s="35" t="s">
        <v>286</v>
      </c>
      <c r="U19">
        <v>2000</v>
      </c>
      <c r="V19">
        <v>3000</v>
      </c>
    </row>
    <row r="20" spans="1:24" x14ac:dyDescent="0.25">
      <c r="A20" t="str">
        <f>CONCATENATE(B20,"_",N20)</f>
        <v>StrongLumio profil LED Groove 10, bílá lak_2000</v>
      </c>
      <c r="B20" t="str">
        <f>IF($D$1=1,D:D,IF($D$1=2,E:E,IF($D$1=3,F:F,IF($D$1=4,G:G,IF($D$1=5,H:H)))))</f>
        <v>StrongLumio profil LED Groove 10, bílá lak</v>
      </c>
      <c r="C20" s="11" t="s">
        <v>287</v>
      </c>
      <c r="D20" s="11" t="s">
        <v>288</v>
      </c>
      <c r="E20" s="11" t="s">
        <v>289</v>
      </c>
      <c r="F20" s="11" t="s">
        <v>290</v>
      </c>
      <c r="G20" s="11" t="s">
        <v>291</v>
      </c>
      <c r="H20" s="11" t="s">
        <v>292</v>
      </c>
      <c r="J20" s="11" t="s">
        <v>227</v>
      </c>
      <c r="K20" t="str">
        <f>Překlady!$C$43</f>
        <v>k zafrézování</v>
      </c>
      <c r="L20" t="str">
        <f>Překlady!$C$50</f>
        <v>bílá</v>
      </c>
      <c r="M20">
        <v>10</v>
      </c>
      <c r="N20" s="32">
        <v>2000</v>
      </c>
      <c r="O20" t="s">
        <v>228</v>
      </c>
      <c r="Q20" s="35" t="s">
        <v>293</v>
      </c>
      <c r="R20" s="35" t="s">
        <v>294</v>
      </c>
      <c r="U20">
        <v>2000</v>
      </c>
      <c r="V20">
        <v>3000</v>
      </c>
      <c r="W20">
        <v>4050</v>
      </c>
    </row>
    <row r="21" spans="1:24" x14ac:dyDescent="0.25">
      <c r="A21" t="str">
        <f>CONCATENATE(B21,"_",N21)</f>
        <v>StrongLumio profil LED Groove 10, bílá lak_3000</v>
      </c>
      <c r="B21" t="str">
        <f>IF($D$1=1,D:D,IF($D$1=2,E:E,IF($D$1=3,F:F,IF($D$1=4,G:G,IF($D$1=5,H:H)))))</f>
        <v>StrongLumio profil LED Groove 10, bílá lak</v>
      </c>
      <c r="C21" s="11" t="s">
        <v>295</v>
      </c>
      <c r="D21" s="11" t="s">
        <v>288</v>
      </c>
      <c r="E21" s="11" t="s">
        <v>288</v>
      </c>
      <c r="F21" s="11" t="s">
        <v>290</v>
      </c>
      <c r="G21" s="11" t="s">
        <v>291</v>
      </c>
      <c r="H21" s="11" t="s">
        <v>292</v>
      </c>
      <c r="J21" s="11" t="s">
        <v>227</v>
      </c>
      <c r="K21" t="str">
        <f>Překlady!$C$43</f>
        <v>k zafrézování</v>
      </c>
      <c r="L21" t="str">
        <f>Překlady!$C$50</f>
        <v>bílá</v>
      </c>
      <c r="M21">
        <v>10</v>
      </c>
      <c r="N21" s="32">
        <v>3000</v>
      </c>
      <c r="O21" t="s">
        <v>238</v>
      </c>
      <c r="Q21" s="35" t="s">
        <v>293</v>
      </c>
      <c r="R21" s="35" t="s">
        <v>294</v>
      </c>
      <c r="U21">
        <v>2000</v>
      </c>
      <c r="V21">
        <v>3000</v>
      </c>
      <c r="W21">
        <v>4050</v>
      </c>
    </row>
    <row r="22" spans="1:24" x14ac:dyDescent="0.25">
      <c r="A22" t="str">
        <f>CONCATENATE(B22,"_",N22)</f>
        <v>StrongLumio profil LED Groove 10, bílá lak_4050</v>
      </c>
      <c r="B22" t="str">
        <f>IF($D$1=1,D:D,IF($D$1=2,E:E,IF($D$1=3,F:F,IF($D$1=4,G:G,IF($D$1=5,H:H)))))</f>
        <v>StrongLumio profil LED Groove 10, bílá lak</v>
      </c>
      <c r="C22" s="11" t="s">
        <v>296</v>
      </c>
      <c r="D22" s="11" t="s">
        <v>288</v>
      </c>
      <c r="E22" s="11" t="s">
        <v>288</v>
      </c>
      <c r="F22" s="11" t="s">
        <v>290</v>
      </c>
      <c r="G22" s="11" t="s">
        <v>291</v>
      </c>
      <c r="H22" s="11" t="s">
        <v>297</v>
      </c>
      <c r="J22" s="11" t="s">
        <v>227</v>
      </c>
      <c r="K22" t="str">
        <f>Překlady!$C$43</f>
        <v>k zafrézování</v>
      </c>
      <c r="L22" t="str">
        <f>Překlady!$C$50</f>
        <v>bílá</v>
      </c>
      <c r="M22">
        <v>10</v>
      </c>
      <c r="N22" s="32">
        <v>4050</v>
      </c>
      <c r="O22" t="s">
        <v>257</v>
      </c>
      <c r="Q22" s="35" t="s">
        <v>293</v>
      </c>
      <c r="R22" s="35" t="s">
        <v>294</v>
      </c>
      <c r="U22">
        <v>2000</v>
      </c>
      <c r="V22">
        <v>3000</v>
      </c>
      <c r="W22">
        <v>4050</v>
      </c>
    </row>
    <row r="24" spans="1:24" x14ac:dyDescent="0.25">
      <c r="A24" t="str">
        <f>CONCATENATE(B24,"_",N24)</f>
        <v>StrongLumio profil LED Begtin 12, černá elox_2000</v>
      </c>
      <c r="B24" t="str">
        <f>IF($D$1=1,D:D,IF($D$1=2,E:E,IF($D$1=3,F:F,IF($D$1=4,G:G,IF($D$1=5,H:H)))))</f>
        <v>StrongLumio profil LED Begtin 12, černá elox</v>
      </c>
      <c r="C24" s="11" t="s">
        <v>298</v>
      </c>
      <c r="D24" s="11" t="s">
        <v>139</v>
      </c>
      <c r="E24" s="11" t="s">
        <v>299</v>
      </c>
      <c r="F24" s="11" t="s">
        <v>300</v>
      </c>
      <c r="G24" s="11" t="s">
        <v>301</v>
      </c>
      <c r="H24" s="11" t="s">
        <v>302</v>
      </c>
      <c r="J24" s="11" t="s">
        <v>227</v>
      </c>
      <c r="K24" t="str">
        <f>Překlady!$C$43</f>
        <v>k zafrézování</v>
      </c>
      <c r="L24" t="str">
        <f>Překlady!$C$51</f>
        <v>černá</v>
      </c>
      <c r="M24">
        <v>12</v>
      </c>
      <c r="N24">
        <v>2000</v>
      </c>
      <c r="O24" t="s">
        <v>303</v>
      </c>
      <c r="Q24" s="35" t="s">
        <v>304</v>
      </c>
      <c r="U24">
        <v>2000</v>
      </c>
      <c r="V24">
        <v>3000</v>
      </c>
    </row>
    <row r="25" spans="1:24" x14ac:dyDescent="0.25">
      <c r="A25" t="str">
        <f>CONCATENATE(B25,"_",N25)</f>
        <v>StrongLumio profil LED Begtin 12, černá elox_3000</v>
      </c>
      <c r="B25" t="str">
        <f>IF($D$1=1,D:D,IF($D$1=2,E:E,IF($D$1=3,F:F,IF($D$1=4,G:G,IF($D$1=5,H:H)))))</f>
        <v>StrongLumio profil LED Begtin 12, černá elox</v>
      </c>
      <c r="C25" s="11" t="s">
        <v>305</v>
      </c>
      <c r="D25" s="11" t="s">
        <v>139</v>
      </c>
      <c r="E25" s="11" t="s">
        <v>299</v>
      </c>
      <c r="F25" s="11" t="s">
        <v>300</v>
      </c>
      <c r="G25" s="11" t="s">
        <v>301</v>
      </c>
      <c r="H25" s="11" t="s">
        <v>302</v>
      </c>
      <c r="J25" s="11" t="s">
        <v>227</v>
      </c>
      <c r="K25" t="str">
        <f>Překlady!$C$43</f>
        <v>k zafrézování</v>
      </c>
      <c r="L25" t="str">
        <f>Překlady!$C$51</f>
        <v>černá</v>
      </c>
      <c r="M25">
        <v>12</v>
      </c>
      <c r="N25">
        <v>3000</v>
      </c>
      <c r="O25" t="s">
        <v>144</v>
      </c>
      <c r="Q25" s="35" t="s">
        <v>304</v>
      </c>
      <c r="U25">
        <v>2000</v>
      </c>
      <c r="V25">
        <v>3000</v>
      </c>
    </row>
    <row r="26" spans="1:24" x14ac:dyDescent="0.25">
      <c r="A26" t="str">
        <f>CONCATENATE(B26,"_",N26)</f>
        <v>StrongLumio profil LED Groove 10, černá elox_2000</v>
      </c>
      <c r="B26" t="str">
        <f>IF($D$1=1,D:D,IF($D$1=2,E:E,IF($D$1=3,F:F,IF($D$1=4,G:G,IF($D$1=5,H:H)))))</f>
        <v>StrongLumio profil LED Groove 10, černá elox</v>
      </c>
      <c r="C26" s="11" t="s">
        <v>306</v>
      </c>
      <c r="D26" s="11" t="s">
        <v>307</v>
      </c>
      <c r="E26" s="11" t="s">
        <v>308</v>
      </c>
      <c r="F26" s="11" t="s">
        <v>309</v>
      </c>
      <c r="G26" s="11" t="s">
        <v>310</v>
      </c>
      <c r="H26" s="11" t="s">
        <v>311</v>
      </c>
      <c r="J26" s="11" t="s">
        <v>227</v>
      </c>
      <c r="K26" t="str">
        <f>Překlady!$C$43</f>
        <v>k zafrézování</v>
      </c>
      <c r="L26" t="str">
        <f>Překlady!$C$51</f>
        <v>černá</v>
      </c>
      <c r="M26">
        <v>10</v>
      </c>
      <c r="N26" s="32">
        <v>2000</v>
      </c>
      <c r="O26" t="s">
        <v>228</v>
      </c>
      <c r="Q26" s="35" t="s">
        <v>312</v>
      </c>
      <c r="R26" s="35" t="s">
        <v>313</v>
      </c>
      <c r="U26">
        <v>2000</v>
      </c>
      <c r="V26">
        <v>3000</v>
      </c>
      <c r="W26">
        <v>4050</v>
      </c>
    </row>
    <row r="27" spans="1:24" x14ac:dyDescent="0.25">
      <c r="A27" t="str">
        <f>CONCATENATE(B27,"_",N27)</f>
        <v>StrongLumio profil LED Groove 10, černá elox_3000</v>
      </c>
      <c r="B27" t="str">
        <f>IF($D$1=1,D:D,IF($D$1=2,E:E,IF($D$1=3,F:F,IF($D$1=4,G:G,IF($D$1=5,H:H)))))</f>
        <v>StrongLumio profil LED Groove 10, černá elox</v>
      </c>
      <c r="C27" s="11" t="s">
        <v>314</v>
      </c>
      <c r="D27" s="11" t="s">
        <v>307</v>
      </c>
      <c r="E27" s="11" t="s">
        <v>308</v>
      </c>
      <c r="F27" s="11" t="s">
        <v>315</v>
      </c>
      <c r="G27" s="11" t="s">
        <v>310</v>
      </c>
      <c r="H27" s="11" t="s">
        <v>311</v>
      </c>
      <c r="J27" s="11" t="s">
        <v>227</v>
      </c>
      <c r="K27" t="str">
        <f>Překlady!$C$43</f>
        <v>k zafrézování</v>
      </c>
      <c r="L27" t="str">
        <f>Překlady!$C$51</f>
        <v>černá</v>
      </c>
      <c r="M27">
        <v>10</v>
      </c>
      <c r="N27" s="32">
        <v>3000</v>
      </c>
      <c r="O27" t="s">
        <v>238</v>
      </c>
      <c r="Q27" s="35" t="s">
        <v>312</v>
      </c>
      <c r="R27" s="35" t="s">
        <v>313</v>
      </c>
      <c r="U27">
        <v>2000</v>
      </c>
      <c r="V27">
        <v>3000</v>
      </c>
      <c r="W27">
        <v>4050</v>
      </c>
    </row>
    <row r="28" spans="1:24" x14ac:dyDescent="0.25">
      <c r="A28" t="str">
        <f>CONCATENATE(B28,"_",N28)</f>
        <v>StrongLumio profil LED Groove 10, černá elox_4050</v>
      </c>
      <c r="B28" t="str">
        <f>IF($D$1=1,D:D,IF($D$1=2,E:E,IF($D$1=3,F:F,IF($D$1=4,G:G,IF($D$1=5,H:H)))))</f>
        <v>StrongLumio profil LED Groove 10, černá elox</v>
      </c>
      <c r="C28" s="11" t="s">
        <v>316</v>
      </c>
      <c r="D28" s="11" t="s">
        <v>307</v>
      </c>
      <c r="E28" s="11" t="s">
        <v>308</v>
      </c>
      <c r="F28" s="11" t="s">
        <v>315</v>
      </c>
      <c r="G28" s="11" t="s">
        <v>310</v>
      </c>
      <c r="H28" s="11" t="s">
        <v>317</v>
      </c>
      <c r="J28" s="11" t="s">
        <v>227</v>
      </c>
      <c r="K28" t="str">
        <f>Překlady!$C$43</f>
        <v>k zafrézování</v>
      </c>
      <c r="L28" t="str">
        <f>Překlady!$C$51</f>
        <v>černá</v>
      </c>
      <c r="M28">
        <v>10</v>
      </c>
      <c r="N28" s="32">
        <v>4050</v>
      </c>
      <c r="O28" t="s">
        <v>257</v>
      </c>
      <c r="Q28" s="35" t="s">
        <v>312</v>
      </c>
      <c r="R28" s="35" t="s">
        <v>313</v>
      </c>
      <c r="U28">
        <v>2000</v>
      </c>
      <c r="V28">
        <v>3000</v>
      </c>
      <c r="W28">
        <v>4050</v>
      </c>
    </row>
    <row r="30" spans="1:24" x14ac:dyDescent="0.25">
      <c r="A30" t="str">
        <f t="shared" ref="A30:A35" si="2">CONCATENATE(B30,"_",N30)</f>
        <v>StrongLumio profil LED Begtin 12, stříbrná elox_2000</v>
      </c>
      <c r="B30" t="str">
        <f t="shared" ref="B30:B35" si="3">IF($D$1=1,D:D,IF($D$1=2,E:E,IF($D$1=3,F:F,IF($D$1=4,G:G,IF($D$1=5,H:H)))))</f>
        <v>StrongLumio profil LED Begtin 12, stříbrná elox</v>
      </c>
      <c r="C30" s="11" t="s">
        <v>318</v>
      </c>
      <c r="D30" s="11" t="s">
        <v>319</v>
      </c>
      <c r="E30" s="11" t="s">
        <v>320</v>
      </c>
      <c r="F30" s="11" t="s">
        <v>321</v>
      </c>
      <c r="G30" s="11" t="s">
        <v>322</v>
      </c>
      <c r="H30" s="11" t="s">
        <v>323</v>
      </c>
      <c r="J30" s="11" t="s">
        <v>227</v>
      </c>
      <c r="K30" t="str">
        <f>Překlady!$C$43</f>
        <v>k zafrézování</v>
      </c>
      <c r="L30" t="str">
        <f>Překlady!$C$52</f>
        <v>stříbrná</v>
      </c>
      <c r="M30">
        <v>12</v>
      </c>
      <c r="N30">
        <v>2000</v>
      </c>
      <c r="O30" t="s">
        <v>285</v>
      </c>
      <c r="Q30" s="35" t="s">
        <v>324</v>
      </c>
      <c r="U30">
        <v>2000</v>
      </c>
      <c r="V30">
        <v>3000</v>
      </c>
    </row>
    <row r="31" spans="1:24" x14ac:dyDescent="0.25">
      <c r="A31" t="str">
        <f t="shared" si="2"/>
        <v>StrongLumio profil LED Begtin 12, stříbrná elox_3000</v>
      </c>
      <c r="B31" t="str">
        <f t="shared" si="3"/>
        <v>StrongLumio profil LED Begtin 12, stříbrná elox</v>
      </c>
      <c r="C31" s="11" t="s">
        <v>325</v>
      </c>
      <c r="D31" s="11" t="s">
        <v>319</v>
      </c>
      <c r="E31" s="11" t="s">
        <v>320</v>
      </c>
      <c r="F31" s="11" t="s">
        <v>321</v>
      </c>
      <c r="G31" s="11" t="s">
        <v>322</v>
      </c>
      <c r="H31" s="11" t="s">
        <v>323</v>
      </c>
      <c r="J31" s="11" t="s">
        <v>227</v>
      </c>
      <c r="K31" t="str">
        <f>Překlady!$C$43</f>
        <v>k zafrézování</v>
      </c>
      <c r="L31" t="str">
        <f>Překlady!$C$52</f>
        <v>stříbrná</v>
      </c>
      <c r="M31">
        <v>12</v>
      </c>
      <c r="N31">
        <v>3000</v>
      </c>
      <c r="O31" t="s">
        <v>144</v>
      </c>
      <c r="Q31" s="35" t="s">
        <v>324</v>
      </c>
      <c r="U31">
        <v>2000</v>
      </c>
      <c r="V31">
        <v>3000</v>
      </c>
    </row>
    <row r="32" spans="1:24" x14ac:dyDescent="0.25">
      <c r="A32" t="str">
        <f t="shared" si="2"/>
        <v>StrongLumio profil LED Groove 10, stříbrná elox_1000</v>
      </c>
      <c r="B32" t="str">
        <f t="shared" si="3"/>
        <v>StrongLumio profil LED Groove 10, stříbrná elox</v>
      </c>
      <c r="C32" s="11" t="s">
        <v>326</v>
      </c>
      <c r="D32" s="11" t="s">
        <v>327</v>
      </c>
      <c r="E32" s="11" t="s">
        <v>328</v>
      </c>
      <c r="F32" s="11" t="s">
        <v>329</v>
      </c>
      <c r="G32" s="11" t="s">
        <v>330</v>
      </c>
      <c r="H32" s="11" t="s">
        <v>331</v>
      </c>
      <c r="J32" s="11" t="s">
        <v>227</v>
      </c>
      <c r="K32" t="str">
        <f>Překlady!$C$43</f>
        <v>k zafrézování</v>
      </c>
      <c r="L32" t="str">
        <f>Překlady!$C$52</f>
        <v>stříbrná</v>
      </c>
      <c r="M32">
        <v>10</v>
      </c>
      <c r="N32" s="32">
        <v>1000</v>
      </c>
      <c r="O32" t="s">
        <v>272</v>
      </c>
      <c r="Q32" s="35" t="s">
        <v>332</v>
      </c>
      <c r="R32" s="35" t="s">
        <v>333</v>
      </c>
      <c r="U32">
        <v>1000</v>
      </c>
      <c r="V32">
        <v>2000</v>
      </c>
      <c r="W32">
        <v>3000</v>
      </c>
      <c r="X32">
        <v>4050</v>
      </c>
    </row>
    <row r="33" spans="1:24" x14ac:dyDescent="0.25">
      <c r="A33" t="str">
        <f t="shared" si="2"/>
        <v>StrongLumio profil LED Groove 10, stříbrná elox_2000</v>
      </c>
      <c r="B33" t="str">
        <f t="shared" si="3"/>
        <v>StrongLumio profil LED Groove 10, stříbrná elox</v>
      </c>
      <c r="C33" s="11" t="s">
        <v>334</v>
      </c>
      <c r="D33" s="11" t="s">
        <v>327</v>
      </c>
      <c r="E33" s="11" t="s">
        <v>328</v>
      </c>
      <c r="F33" s="11" t="s">
        <v>329</v>
      </c>
      <c r="G33" s="11" t="s">
        <v>335</v>
      </c>
      <c r="H33" s="11" t="s">
        <v>331</v>
      </c>
      <c r="J33" s="11" t="s">
        <v>276</v>
      </c>
      <c r="K33" t="str">
        <f>Překlady!$C$43</f>
        <v>k zafrézování</v>
      </c>
      <c r="L33" t="str">
        <f>Překlady!$C$52</f>
        <v>stříbrná</v>
      </c>
      <c r="M33">
        <v>10</v>
      </c>
      <c r="N33" s="32">
        <v>2000</v>
      </c>
      <c r="O33" t="s">
        <v>228</v>
      </c>
      <c r="Q33" s="35" t="s">
        <v>332</v>
      </c>
      <c r="R33" s="35" t="s">
        <v>333</v>
      </c>
      <c r="U33">
        <v>1000</v>
      </c>
      <c r="V33">
        <v>2000</v>
      </c>
      <c r="W33">
        <v>3000</v>
      </c>
      <c r="X33">
        <v>4050</v>
      </c>
    </row>
    <row r="34" spans="1:24" x14ac:dyDescent="0.25">
      <c r="A34" t="str">
        <f t="shared" si="2"/>
        <v>StrongLumio profil LED Groove 10, stříbrná elox_3000</v>
      </c>
      <c r="B34" t="str">
        <f t="shared" si="3"/>
        <v>StrongLumio profil LED Groove 10, stříbrná elox</v>
      </c>
      <c r="C34" s="11" t="s">
        <v>336</v>
      </c>
      <c r="D34" s="11" t="s">
        <v>327</v>
      </c>
      <c r="E34" s="11" t="s">
        <v>328</v>
      </c>
      <c r="F34" s="11" t="s">
        <v>329</v>
      </c>
      <c r="G34" s="11" t="s">
        <v>335</v>
      </c>
      <c r="H34" s="11" t="s">
        <v>331</v>
      </c>
      <c r="J34" s="11" t="s">
        <v>276</v>
      </c>
      <c r="K34" t="str">
        <f>Překlady!$C$43</f>
        <v>k zafrézování</v>
      </c>
      <c r="L34" t="str">
        <f>Překlady!$C$52</f>
        <v>stříbrná</v>
      </c>
      <c r="M34">
        <v>10</v>
      </c>
      <c r="N34" s="32">
        <v>3000</v>
      </c>
      <c r="O34" t="s">
        <v>238</v>
      </c>
      <c r="Q34" s="35" t="s">
        <v>332</v>
      </c>
      <c r="R34" s="35" t="s">
        <v>333</v>
      </c>
      <c r="U34">
        <v>1000</v>
      </c>
      <c r="V34">
        <v>2000</v>
      </c>
      <c r="W34">
        <v>3000</v>
      </c>
      <c r="X34">
        <v>4050</v>
      </c>
    </row>
    <row r="35" spans="1:24" x14ac:dyDescent="0.25">
      <c r="A35" t="str">
        <f t="shared" si="2"/>
        <v>StrongLumio profil LED Groove 10, stříbrná elox_4050</v>
      </c>
      <c r="B35" t="str">
        <f t="shared" si="3"/>
        <v>StrongLumio profil LED Groove 10, stříbrná elox</v>
      </c>
      <c r="C35" s="11" t="s">
        <v>337</v>
      </c>
      <c r="D35" s="11" t="s">
        <v>327</v>
      </c>
      <c r="E35" s="11" t="s">
        <v>328</v>
      </c>
      <c r="F35" s="11" t="s">
        <v>329</v>
      </c>
      <c r="G35" s="11" t="s">
        <v>335</v>
      </c>
      <c r="H35" s="11" t="s">
        <v>331</v>
      </c>
      <c r="J35" s="11" t="s">
        <v>227</v>
      </c>
      <c r="K35" t="str">
        <f>Překlady!$C$43</f>
        <v>k zafrézování</v>
      </c>
      <c r="L35" t="str">
        <f>Překlady!$C$52</f>
        <v>stříbrná</v>
      </c>
      <c r="M35">
        <v>10</v>
      </c>
      <c r="N35" s="32">
        <v>4050</v>
      </c>
      <c r="O35" t="s">
        <v>257</v>
      </c>
      <c r="Q35" s="35" t="s">
        <v>332</v>
      </c>
      <c r="R35" s="35" t="s">
        <v>333</v>
      </c>
      <c r="U35">
        <v>1000</v>
      </c>
      <c r="V35">
        <v>2000</v>
      </c>
      <c r="W35">
        <v>3000</v>
      </c>
      <c r="X35">
        <v>4050</v>
      </c>
    </row>
    <row r="37" spans="1:24" x14ac:dyDescent="0.25">
      <c r="A37" t="str">
        <f>CONCATENATE(B37,"_",N37)</f>
        <v>StrongLumio profil LED Corner 10, bílá lak_2000</v>
      </c>
      <c r="B37" t="str">
        <f>IF($D$1=1,D:D,IF($D$1=2,E:E,IF($D$1=3,F:F,IF($D$1=4,G:G,IF($D$1=5,H:H)))))</f>
        <v>StrongLumio profil LED Corner 10, bílá lak</v>
      </c>
      <c r="C37" s="11" t="s">
        <v>338</v>
      </c>
      <c r="D37" s="11" t="s">
        <v>339</v>
      </c>
      <c r="E37" s="11" t="s">
        <v>340</v>
      </c>
      <c r="F37" s="11" t="s">
        <v>341</v>
      </c>
      <c r="G37" s="11" t="s">
        <v>342</v>
      </c>
      <c r="H37" s="11" t="s">
        <v>343</v>
      </c>
      <c r="J37" s="11" t="s">
        <v>227</v>
      </c>
      <c r="K37" t="str">
        <f>Překlady!$C$44</f>
        <v>rohová</v>
      </c>
      <c r="L37" t="str">
        <f>Překlady!$C$50</f>
        <v>bílá</v>
      </c>
      <c r="M37">
        <v>10</v>
      </c>
      <c r="N37">
        <v>2000</v>
      </c>
      <c r="O37" t="s">
        <v>228</v>
      </c>
      <c r="Q37" s="35" t="s">
        <v>344</v>
      </c>
      <c r="U37">
        <v>2000</v>
      </c>
      <c r="V37">
        <v>3000</v>
      </c>
      <c r="W37">
        <v>4050</v>
      </c>
    </row>
    <row r="38" spans="1:24" x14ac:dyDescent="0.25">
      <c r="A38" t="str">
        <f>CONCATENATE(B38,"_",N38)</f>
        <v>StrongLumio profil LED Corner 10, bílá lak_3000</v>
      </c>
      <c r="B38" t="str">
        <f>IF($D$1=1,D:D,IF($D$1=2,E:E,IF($D$1=3,F:F,IF($D$1=4,G:G,IF($D$1=5,H:H)))))</f>
        <v>StrongLumio profil LED Corner 10, bílá lak</v>
      </c>
      <c r="C38" s="11" t="s">
        <v>345</v>
      </c>
      <c r="D38" s="11" t="s">
        <v>339</v>
      </c>
      <c r="E38" s="11" t="s">
        <v>340</v>
      </c>
      <c r="F38" s="11" t="s">
        <v>341</v>
      </c>
      <c r="G38" s="11" t="s">
        <v>342</v>
      </c>
      <c r="H38" s="11" t="s">
        <v>343</v>
      </c>
      <c r="J38" s="11" t="s">
        <v>227</v>
      </c>
      <c r="K38" t="str">
        <f>Překlady!$C$44</f>
        <v>rohová</v>
      </c>
      <c r="L38" t="str">
        <f>Překlady!$C$50</f>
        <v>bílá</v>
      </c>
      <c r="M38">
        <v>10</v>
      </c>
      <c r="N38">
        <v>3000</v>
      </c>
      <c r="O38" t="s">
        <v>238</v>
      </c>
      <c r="Q38" s="35" t="s">
        <v>344</v>
      </c>
      <c r="U38">
        <v>2000</v>
      </c>
      <c r="V38">
        <v>3000</v>
      </c>
      <c r="W38">
        <v>4050</v>
      </c>
    </row>
    <row r="39" spans="1:24" x14ac:dyDescent="0.25">
      <c r="A39" t="str">
        <f>CONCATENATE(B39,"_",N39)</f>
        <v>StrongLumio profil LED Corner 10, bílá lak_4050</v>
      </c>
      <c r="B39" t="str">
        <f>IF($D$1=1,D:D,IF($D$1=2,E:E,IF($D$1=3,F:F,IF($D$1=4,G:G,IF($D$1=5,H:H)))))</f>
        <v>StrongLumio profil LED Corner 10, bílá lak</v>
      </c>
      <c r="C39" s="11" t="s">
        <v>346</v>
      </c>
      <c r="D39" s="11" t="s">
        <v>339</v>
      </c>
      <c r="E39" s="11" t="s">
        <v>340</v>
      </c>
      <c r="F39" s="11" t="s">
        <v>341</v>
      </c>
      <c r="G39" s="11" t="s">
        <v>342</v>
      </c>
      <c r="H39" s="11" t="s">
        <v>347</v>
      </c>
      <c r="J39" s="11" t="s">
        <v>227</v>
      </c>
      <c r="K39" t="str">
        <f>Překlady!$C$44</f>
        <v>rohová</v>
      </c>
      <c r="L39" t="str">
        <f>Překlady!$C$50</f>
        <v>bílá</v>
      </c>
      <c r="M39">
        <v>10</v>
      </c>
      <c r="N39">
        <v>4050</v>
      </c>
      <c r="O39" t="s">
        <v>257</v>
      </c>
      <c r="Q39" s="35" t="s">
        <v>344</v>
      </c>
      <c r="U39">
        <v>2000</v>
      </c>
      <c r="V39">
        <v>3000</v>
      </c>
      <c r="W39">
        <v>4050</v>
      </c>
    </row>
    <row r="41" spans="1:24" x14ac:dyDescent="0.25">
      <c r="A41" t="str">
        <f>CONCATENATE(B41,"_",N41)</f>
        <v>StrongLumio profil LED Corner 10, černá elox_2000</v>
      </c>
      <c r="B41" t="str">
        <f>IF($D$1=1,D:D,IF($D$1=2,E:E,IF($D$1=3,F:F,IF($D$1=4,G:G,IF($D$1=5,H:H)))))</f>
        <v>StrongLumio profil LED Corner 10, černá elox</v>
      </c>
      <c r="C41" s="11" t="s">
        <v>348</v>
      </c>
      <c r="D41" s="11" t="s">
        <v>349</v>
      </c>
      <c r="E41" s="11" t="s">
        <v>350</v>
      </c>
      <c r="F41" s="11" t="s">
        <v>351</v>
      </c>
      <c r="G41" s="11" t="s">
        <v>352</v>
      </c>
      <c r="H41" s="11" t="s">
        <v>353</v>
      </c>
      <c r="J41" s="11" t="s">
        <v>227</v>
      </c>
      <c r="K41" t="str">
        <f>Překlady!$C$44</f>
        <v>rohová</v>
      </c>
      <c r="L41" t="str">
        <f>Překlady!$C$51</f>
        <v>černá</v>
      </c>
      <c r="M41">
        <v>10</v>
      </c>
      <c r="N41">
        <v>2000</v>
      </c>
      <c r="O41" t="s">
        <v>228</v>
      </c>
      <c r="Q41" s="35" t="s">
        <v>354</v>
      </c>
      <c r="U41">
        <v>2000</v>
      </c>
      <c r="V41">
        <v>3000</v>
      </c>
      <c r="W41">
        <v>4050</v>
      </c>
    </row>
    <row r="42" spans="1:24" x14ac:dyDescent="0.25">
      <c r="A42" t="str">
        <f>CONCATENATE(B42,"_",N42)</f>
        <v>StrongLumio profil LED Corner 10, černá elox_3000</v>
      </c>
      <c r="B42" t="str">
        <f>IF($D$1=1,D:D,IF($D$1=2,E:E,IF($D$1=3,F:F,IF($D$1=4,G:G,IF($D$1=5,H:H)))))</f>
        <v>StrongLumio profil LED Corner 10, černá elox</v>
      </c>
      <c r="C42" s="11" t="s">
        <v>355</v>
      </c>
      <c r="D42" s="11" t="s">
        <v>349</v>
      </c>
      <c r="E42" s="11" t="s">
        <v>350</v>
      </c>
      <c r="F42" s="11" t="s">
        <v>356</v>
      </c>
      <c r="G42" s="11" t="s">
        <v>352</v>
      </c>
      <c r="H42" s="11" t="s">
        <v>353</v>
      </c>
      <c r="J42" s="11" t="s">
        <v>227</v>
      </c>
      <c r="K42" t="str">
        <f>Překlady!$C$44</f>
        <v>rohová</v>
      </c>
      <c r="L42" t="str">
        <f>Překlady!$C$51</f>
        <v>černá</v>
      </c>
      <c r="M42">
        <v>10</v>
      </c>
      <c r="N42">
        <v>3000</v>
      </c>
      <c r="O42" t="s">
        <v>238</v>
      </c>
      <c r="Q42" s="35" t="s">
        <v>354</v>
      </c>
      <c r="U42">
        <v>2000</v>
      </c>
      <c r="V42">
        <v>3000</v>
      </c>
      <c r="W42">
        <v>4050</v>
      </c>
    </row>
    <row r="43" spans="1:24" x14ac:dyDescent="0.25">
      <c r="A43" t="str">
        <f>CONCATENATE(B43,"_",N43)</f>
        <v>StrongLumio profil LED Corner 10, černá elox_4050</v>
      </c>
      <c r="B43" t="str">
        <f>IF($D$1=1,D:D,IF($D$1=2,E:E,IF($D$1=3,F:F,IF($D$1=4,G:G,IF($D$1=5,H:H)))))</f>
        <v>StrongLumio profil LED Corner 10, černá elox</v>
      </c>
      <c r="C43" s="11" t="s">
        <v>357</v>
      </c>
      <c r="D43" s="11" t="s">
        <v>349</v>
      </c>
      <c r="E43" s="11" t="s">
        <v>350</v>
      </c>
      <c r="F43" s="11" t="s">
        <v>356</v>
      </c>
      <c r="G43" s="11" t="s">
        <v>352</v>
      </c>
      <c r="H43" s="11" t="s">
        <v>358</v>
      </c>
      <c r="J43" s="11" t="s">
        <v>227</v>
      </c>
      <c r="K43" t="str">
        <f>Překlady!$C$44</f>
        <v>rohová</v>
      </c>
      <c r="L43" t="str">
        <f>Překlady!$C$51</f>
        <v>černá</v>
      </c>
      <c r="M43">
        <v>10</v>
      </c>
      <c r="N43">
        <v>4050</v>
      </c>
      <c r="O43" t="s">
        <v>257</v>
      </c>
      <c r="Q43" s="35" t="s">
        <v>354</v>
      </c>
      <c r="U43">
        <v>2000</v>
      </c>
      <c r="V43">
        <v>3000</v>
      </c>
      <c r="W43">
        <v>4050</v>
      </c>
    </row>
    <row r="46" spans="1:24" x14ac:dyDescent="0.25">
      <c r="A46" t="str">
        <f>CONCATENATE(B46,"_",N46)</f>
        <v>StrongLumio profil LED Cabi 12 E, stříbrná elox_2000</v>
      </c>
      <c r="B46" t="str">
        <f>IF($D$1=1,D:D,IF($D$1=2,E:E,IF($D$1=3,F:F,IF($D$1=4,G:G,IF($D$1=5,H:H)))))</f>
        <v>StrongLumio profil LED Cabi 12 E, stříbrná elox</v>
      </c>
      <c r="C46" s="4" t="s">
        <v>359</v>
      </c>
      <c r="D46" t="s">
        <v>360</v>
      </c>
      <c r="E46" t="s">
        <v>361</v>
      </c>
      <c r="F46" t="s">
        <v>362</v>
      </c>
      <c r="G46" t="s">
        <v>363</v>
      </c>
      <c r="H46" t="s">
        <v>364</v>
      </c>
      <c r="I46" t="s">
        <v>365</v>
      </c>
      <c r="J46" s="11" t="s">
        <v>227</v>
      </c>
      <c r="K46" t="str">
        <f>Překlady!$C$44</f>
        <v>rohová</v>
      </c>
      <c r="L46" t="str">
        <f>Překlady!$C$52</f>
        <v>stříbrná</v>
      </c>
      <c r="M46">
        <v>12</v>
      </c>
      <c r="N46">
        <v>2000</v>
      </c>
      <c r="O46" t="s">
        <v>366</v>
      </c>
      <c r="Q46" s="35" t="s">
        <v>367</v>
      </c>
      <c r="U46">
        <v>2000</v>
      </c>
    </row>
    <row r="47" spans="1:24" x14ac:dyDescent="0.25">
      <c r="A47" t="str">
        <f>CONCATENATE(B47,"_",N47)</f>
        <v>StrongLumio profil LED Corner 10, stříbrná elox_1000</v>
      </c>
      <c r="B47" t="str">
        <f>IF($D$1=1,D:D,IF($D$1=2,E:E,IF($D$1=3,F:F,IF($D$1=4,G:G,IF($D$1=5,H:H)))))</f>
        <v>StrongLumio profil LED Corner 10, stříbrná elox</v>
      </c>
      <c r="C47" s="11" t="s">
        <v>368</v>
      </c>
      <c r="D47" s="11" t="s">
        <v>369</v>
      </c>
      <c r="E47" s="11" t="s">
        <v>370</v>
      </c>
      <c r="F47" s="11" t="s">
        <v>371</v>
      </c>
      <c r="G47" s="11" t="s">
        <v>372</v>
      </c>
      <c r="H47" s="11" t="s">
        <v>373</v>
      </c>
      <c r="J47" s="11" t="s">
        <v>227</v>
      </c>
      <c r="K47" t="str">
        <f>Překlady!$C$44</f>
        <v>rohová</v>
      </c>
      <c r="L47" t="str">
        <f>Překlady!$C$52</f>
        <v>stříbrná</v>
      </c>
      <c r="M47">
        <v>10</v>
      </c>
      <c r="N47">
        <v>1000</v>
      </c>
      <c r="O47" t="s">
        <v>272</v>
      </c>
      <c r="Q47" s="35" t="s">
        <v>374</v>
      </c>
      <c r="U47">
        <v>1000</v>
      </c>
      <c r="V47">
        <v>2000</v>
      </c>
      <c r="W47">
        <v>3000</v>
      </c>
      <c r="X47">
        <v>4050</v>
      </c>
    </row>
    <row r="48" spans="1:24" x14ac:dyDescent="0.25">
      <c r="A48" t="str">
        <f>CONCATENATE(B48,"_",N48)</f>
        <v>StrongLumio profil LED Corner 10, stříbrná elox_2000</v>
      </c>
      <c r="B48" t="str">
        <f>IF($D$1=1,D:D,IF($D$1=2,E:E,IF($D$1=3,F:F,IF($D$1=4,G:G,IF($D$1=5,H:H)))))</f>
        <v>StrongLumio profil LED Corner 10, stříbrná elox</v>
      </c>
      <c r="C48" s="11" t="s">
        <v>375</v>
      </c>
      <c r="D48" s="11" t="s">
        <v>369</v>
      </c>
      <c r="E48" s="11" t="s">
        <v>376</v>
      </c>
      <c r="F48" s="11" t="s">
        <v>371</v>
      </c>
      <c r="G48" s="11" t="s">
        <v>377</v>
      </c>
      <c r="H48" s="11" t="s">
        <v>373</v>
      </c>
      <c r="J48" s="11" t="s">
        <v>276</v>
      </c>
      <c r="K48" t="str">
        <f>Překlady!$C$44</f>
        <v>rohová</v>
      </c>
      <c r="L48" t="str">
        <f>Překlady!$C$52</f>
        <v>stříbrná</v>
      </c>
      <c r="M48">
        <v>10</v>
      </c>
      <c r="N48">
        <v>2000</v>
      </c>
      <c r="O48" t="s">
        <v>228</v>
      </c>
      <c r="Q48" s="35" t="s">
        <v>374</v>
      </c>
      <c r="U48">
        <v>1000</v>
      </c>
      <c r="V48">
        <v>2000</v>
      </c>
      <c r="W48">
        <v>3000</v>
      </c>
      <c r="X48">
        <v>4050</v>
      </c>
    </row>
    <row r="49" spans="1:24" x14ac:dyDescent="0.25">
      <c r="A49" t="str">
        <f>CONCATENATE(B49,"_",N49)</f>
        <v>StrongLumio profil LED Corner 10, stříbrná elox_3000</v>
      </c>
      <c r="B49" t="str">
        <f>IF($D$1=1,D:D,IF($D$1=2,E:E,IF($D$1=3,F:F,IF($D$1=4,G:G,IF($D$1=5,H:H)))))</f>
        <v>StrongLumio profil LED Corner 10, stříbrná elox</v>
      </c>
      <c r="C49" s="11" t="s">
        <v>378</v>
      </c>
      <c r="D49" s="11" t="s">
        <v>369</v>
      </c>
      <c r="E49" s="11" t="s">
        <v>370</v>
      </c>
      <c r="F49" s="11" t="s">
        <v>371</v>
      </c>
      <c r="G49" s="11" t="s">
        <v>377</v>
      </c>
      <c r="H49" s="11" t="s">
        <v>373</v>
      </c>
      <c r="J49" s="11" t="s">
        <v>227</v>
      </c>
      <c r="K49" t="str">
        <f>Překlady!$C$44</f>
        <v>rohová</v>
      </c>
      <c r="L49" t="str">
        <f>Překlady!$C$52</f>
        <v>stříbrná</v>
      </c>
      <c r="M49">
        <v>10</v>
      </c>
      <c r="N49">
        <v>3000</v>
      </c>
      <c r="O49" t="s">
        <v>238</v>
      </c>
      <c r="Q49" s="35" t="s">
        <v>374</v>
      </c>
      <c r="U49">
        <v>1000</v>
      </c>
      <c r="V49">
        <v>2000</v>
      </c>
      <c r="W49">
        <v>3000</v>
      </c>
      <c r="X49">
        <v>4050</v>
      </c>
    </row>
    <row r="50" spans="1:24" x14ac:dyDescent="0.25">
      <c r="A50" t="str">
        <f>CONCATENATE(B50,"_",N50)</f>
        <v>StrongLumio profil LED Corner 10, stříbrná elox_4050</v>
      </c>
      <c r="B50" t="str">
        <f>IF($D$1=1,D:D,IF($D$1=2,E:E,IF($D$1=3,F:F,IF($D$1=4,G:G,IF($D$1=5,H:H)))))</f>
        <v>StrongLumio profil LED Corner 10, stříbrná elox</v>
      </c>
      <c r="C50" s="11" t="s">
        <v>379</v>
      </c>
      <c r="D50" s="11" t="s">
        <v>369</v>
      </c>
      <c r="E50" s="11" t="s">
        <v>370</v>
      </c>
      <c r="F50" s="11" t="s">
        <v>371</v>
      </c>
      <c r="G50" s="11" t="s">
        <v>377</v>
      </c>
      <c r="H50" s="11" t="s">
        <v>373</v>
      </c>
      <c r="J50" s="11" t="s">
        <v>227</v>
      </c>
      <c r="K50" t="str">
        <f>Překlady!$C$44</f>
        <v>rohová</v>
      </c>
      <c r="L50" t="str">
        <f>Překlady!$C$52</f>
        <v>stříbrná</v>
      </c>
      <c r="M50">
        <v>10</v>
      </c>
      <c r="N50">
        <v>4050</v>
      </c>
      <c r="O50" t="s">
        <v>257</v>
      </c>
      <c r="Q50" s="35" t="s">
        <v>374</v>
      </c>
      <c r="U50">
        <v>1000</v>
      </c>
      <c r="V50">
        <v>2000</v>
      </c>
      <c r="W50">
        <v>3000</v>
      </c>
      <c r="X50">
        <v>4050</v>
      </c>
    </row>
    <row r="55" spans="1:24" x14ac:dyDescent="0.25">
      <c r="A55" t="str">
        <f>CONCATENATE(B55,"_",N55)</f>
        <v>StrongLumio krycí lišta C k LED profilům naklapávací, průsvitná - propustnost světla 95%_2000</v>
      </c>
      <c r="B55" t="str">
        <f>IF($D$1=1,D:D,IF($D$1=2,E:E,IF($D$1=3,F:F,IF($D$1=4,G:G,IF($D$1=5,H:H)))))&amp;Překlady!$C$62&amp;K55</f>
        <v>StrongLumio krycí lišta C k LED profilům naklapávací, průsvitná - propustnost světla 95%</v>
      </c>
      <c r="C55" s="4" t="s">
        <v>380</v>
      </c>
      <c r="D55" t="s">
        <v>381</v>
      </c>
      <c r="E55" t="s">
        <v>382</v>
      </c>
      <c r="F55" t="s">
        <v>383</v>
      </c>
      <c r="G55" t="s">
        <v>384</v>
      </c>
      <c r="H55" t="s">
        <v>385</v>
      </c>
      <c r="J55" s="11" t="s">
        <v>227</v>
      </c>
      <c r="K55" s="4" t="s">
        <v>402</v>
      </c>
      <c r="L55" t="s">
        <v>228</v>
      </c>
      <c r="N55">
        <v>2000</v>
      </c>
      <c r="O55">
        <v>1000</v>
      </c>
      <c r="P55">
        <v>2000</v>
      </c>
      <c r="Q55">
        <v>3000</v>
      </c>
      <c r="R55">
        <v>4100</v>
      </c>
    </row>
    <row r="56" spans="1:24" x14ac:dyDescent="0.25">
      <c r="A56" t="str">
        <f>CONCATENATE(B56,"_",N56)</f>
        <v>StrongLumio krycí lišta C k LED profilům naklapávací, mléčná - propustnost světla 70%_2000</v>
      </c>
      <c r="B56" t="str">
        <f>IF($D$1=1,D:D,IF($D$1=2,E:E,IF($D$1=3,F:F,IF($D$1=4,G:G,IF($D$1=5,H:H)))))&amp;Překlady!$C$62&amp;K56</f>
        <v>StrongLumio krycí lišta C k LED profilům naklapávací, mléčná - propustnost světla 70%</v>
      </c>
      <c r="C56" s="4" t="s">
        <v>386</v>
      </c>
      <c r="D56" t="s">
        <v>387</v>
      </c>
      <c r="E56" t="s">
        <v>388</v>
      </c>
      <c r="F56" t="s">
        <v>389</v>
      </c>
      <c r="G56" t="s">
        <v>390</v>
      </c>
      <c r="H56" t="s">
        <v>391</v>
      </c>
      <c r="J56" s="11" t="s">
        <v>227</v>
      </c>
      <c r="K56" s="4" t="s">
        <v>404</v>
      </c>
      <c r="L56" t="s">
        <v>228</v>
      </c>
      <c r="N56">
        <v>2000</v>
      </c>
      <c r="O56">
        <v>1000</v>
      </c>
      <c r="P56">
        <v>2000</v>
      </c>
      <c r="Q56">
        <v>3000</v>
      </c>
      <c r="R56">
        <v>4100</v>
      </c>
    </row>
    <row r="57" spans="1:24" x14ac:dyDescent="0.25">
      <c r="A57" t="str">
        <f>CONCATENATE(B57,"_",N57)</f>
        <v>StrongLumio krycí lišta C k LED profilům naklapávací, černá - propustnost světla 40%_2000</v>
      </c>
      <c r="B57" t="str">
        <f>IF($D$1=1,D:D,IF($D$1=2,E:E,IF($D$1=3,F:F,IF($D$1=4,G:G,IF($D$1=5,H:H)))))&amp;Překlady!$C$62&amp;K57</f>
        <v>StrongLumio krycí lišta C k LED profilům naklapávací, černá - propustnost světla 40%</v>
      </c>
      <c r="C57" s="4" t="s">
        <v>393</v>
      </c>
      <c r="D57" t="s">
        <v>412</v>
      </c>
      <c r="E57" t="s">
        <v>394</v>
      </c>
      <c r="F57" t="s">
        <v>395</v>
      </c>
      <c r="G57" t="s">
        <v>396</v>
      </c>
      <c r="H57" t="s">
        <v>397</v>
      </c>
      <c r="J57" s="11" t="s">
        <v>227</v>
      </c>
      <c r="K57" s="4" t="s">
        <v>398</v>
      </c>
      <c r="L57" t="s">
        <v>228</v>
      </c>
      <c r="N57">
        <v>2000</v>
      </c>
      <c r="O57">
        <v>2000</v>
      </c>
      <c r="P57">
        <v>3000</v>
      </c>
      <c r="Q57">
        <v>4100</v>
      </c>
    </row>
    <row r="58" spans="1:24" x14ac:dyDescent="0.25">
      <c r="C58" s="4"/>
      <c r="K58" s="4"/>
    </row>
    <row r="59" spans="1:24" x14ac:dyDescent="0.25">
      <c r="A59" t="str">
        <f>CONCATENATE(B59,"_",N59)</f>
        <v>StrongLumio krycí lišta C k LED profilům naklapávací, průsvitná - propustnost světla 95%_3000</v>
      </c>
      <c r="B59" t="str">
        <f>IF($D$1=1,D:D,IF($D$1=2,E:E,IF($D$1=3,F:F,IF($D$1=4,G:G,IF($D$1=5,H:H)))))&amp;Překlady!$C$62&amp;K59</f>
        <v>StrongLumio krycí lišta C k LED profilům naklapávací, průsvitná - propustnost světla 95%</v>
      </c>
      <c r="C59" s="4" t="s">
        <v>399</v>
      </c>
      <c r="D59" t="s">
        <v>381</v>
      </c>
      <c r="E59" t="s">
        <v>400</v>
      </c>
      <c r="F59" t="s">
        <v>383</v>
      </c>
      <c r="G59" t="s">
        <v>384</v>
      </c>
      <c r="H59" t="s">
        <v>401</v>
      </c>
      <c r="J59" s="11" t="s">
        <v>227</v>
      </c>
      <c r="K59" s="4" t="s">
        <v>402</v>
      </c>
      <c r="L59" t="s">
        <v>238</v>
      </c>
      <c r="N59">
        <v>3000</v>
      </c>
      <c r="O59">
        <v>1000</v>
      </c>
      <c r="P59">
        <v>2000</v>
      </c>
      <c r="Q59">
        <v>3000</v>
      </c>
      <c r="R59">
        <v>4100</v>
      </c>
    </row>
    <row r="60" spans="1:24" x14ac:dyDescent="0.25">
      <c r="A60" t="str">
        <f>CONCATENATE(B60,"_",N60)</f>
        <v>StrongLumio krycí lišta C k LED profilům naklapávací, mléčná - propustnost světla 70%_3000</v>
      </c>
      <c r="B60" t="str">
        <f>IF($D$1=1,D:D,IF($D$1=2,E:E,IF($D$1=3,F:F,IF($D$1=4,G:G,IF($D$1=5,H:H)))))&amp;Překlady!$C$62&amp;K60</f>
        <v>StrongLumio krycí lišta C k LED profilům naklapávací, mléčná - propustnost světla 70%</v>
      </c>
      <c r="C60" s="4" t="s">
        <v>403</v>
      </c>
      <c r="D60" t="s">
        <v>387</v>
      </c>
      <c r="E60" t="s">
        <v>388</v>
      </c>
      <c r="F60" t="s">
        <v>389</v>
      </c>
      <c r="G60" t="s">
        <v>390</v>
      </c>
      <c r="H60" t="s">
        <v>391</v>
      </c>
      <c r="J60" s="11" t="s">
        <v>227</v>
      </c>
      <c r="K60" s="4" t="s">
        <v>404</v>
      </c>
      <c r="L60" t="s">
        <v>238</v>
      </c>
      <c r="N60">
        <v>3000</v>
      </c>
      <c r="O60">
        <v>1000</v>
      </c>
      <c r="P60">
        <v>2000</v>
      </c>
      <c r="Q60">
        <v>3000</v>
      </c>
      <c r="R60">
        <v>4100</v>
      </c>
    </row>
    <row r="61" spans="1:24" x14ac:dyDescent="0.25">
      <c r="A61" t="str">
        <f>CONCATENATE(B61,"_",N61)</f>
        <v>StrongLumio krycí lišta C k LED profilům naklapávací, černá - propustnost světla 40%_3000</v>
      </c>
      <c r="B61" t="str">
        <f>IF($D$1=1,D:D,IF($D$1=2,E:E,IF($D$1=3,F:F,IF($D$1=4,G:G,IF($D$1=5,H:H)))))&amp;Překlady!$C$62&amp;K61</f>
        <v>StrongLumio krycí lišta C k LED profilům naklapávací, černá - propustnost světla 40%</v>
      </c>
      <c r="C61" s="4" t="s">
        <v>405</v>
      </c>
      <c r="D61" t="s">
        <v>412</v>
      </c>
      <c r="E61" t="s">
        <v>394</v>
      </c>
      <c r="F61" t="s">
        <v>406</v>
      </c>
      <c r="G61" t="s">
        <v>396</v>
      </c>
      <c r="H61" t="s">
        <v>397</v>
      </c>
      <c r="J61" s="11" t="s">
        <v>227</v>
      </c>
      <c r="K61" s="4" t="s">
        <v>398</v>
      </c>
      <c r="L61" t="s">
        <v>238</v>
      </c>
      <c r="N61">
        <v>3000</v>
      </c>
      <c r="O61">
        <v>2000</v>
      </c>
      <c r="P61">
        <v>3000</v>
      </c>
      <c r="Q61">
        <v>4100</v>
      </c>
    </row>
    <row r="62" spans="1:24" x14ac:dyDescent="0.25">
      <c r="C62" s="4"/>
      <c r="J62" s="11"/>
      <c r="K62" s="4"/>
    </row>
    <row r="63" spans="1:24" x14ac:dyDescent="0.25">
      <c r="C63" s="4"/>
      <c r="J63" s="11"/>
      <c r="K63" s="4"/>
    </row>
    <row r="64" spans="1:24" x14ac:dyDescent="0.25">
      <c r="C64" s="4"/>
      <c r="K64" s="4"/>
    </row>
    <row r="65" spans="1:18" x14ac:dyDescent="0.25">
      <c r="A65" t="str">
        <f>CONCATENATE(B65,"_",N65)</f>
        <v>StrongLumio krycí lišta C k LED profilům naklapávací, průsvitná - propustnost světla 95%_4100</v>
      </c>
      <c r="B65" t="str">
        <f>IF($D$1=1,D:D,IF($D$1=2,E:E,IF($D$1=3,F:F,IF($D$1=4,G:G,IF($D$1=5,H:H)))))&amp;Překlady!$C$62&amp;K65</f>
        <v>StrongLumio krycí lišta C k LED profilům naklapávací, průsvitná - propustnost světla 95%</v>
      </c>
      <c r="C65" s="4" t="s">
        <v>407</v>
      </c>
      <c r="D65" t="s">
        <v>381</v>
      </c>
      <c r="E65" t="s">
        <v>408</v>
      </c>
      <c r="F65" t="s">
        <v>383</v>
      </c>
      <c r="G65" t="s">
        <v>384</v>
      </c>
      <c r="H65" t="s">
        <v>401</v>
      </c>
      <c r="J65" s="11" t="s">
        <v>227</v>
      </c>
      <c r="K65" s="4" t="s">
        <v>402</v>
      </c>
      <c r="L65" t="s">
        <v>257</v>
      </c>
      <c r="N65">
        <v>4100</v>
      </c>
      <c r="O65">
        <v>1000</v>
      </c>
      <c r="P65">
        <v>2000</v>
      </c>
      <c r="Q65">
        <v>3000</v>
      </c>
      <c r="R65">
        <v>4100</v>
      </c>
    </row>
    <row r="66" spans="1:18" x14ac:dyDescent="0.25">
      <c r="A66" t="str">
        <f>CONCATENATE(B66,"_",N66)</f>
        <v>StrongLumio krycí lišta C k LED profilům naklapávací, mléčná - propustnost světla 70%_4100</v>
      </c>
      <c r="B66" t="str">
        <f>IF($D$1=1,D:D,IF($D$1=2,E:E,IF($D$1=3,F:F,IF($D$1=4,G:G,IF($D$1=5,H:H)))))&amp;Překlady!$C$62&amp;K66</f>
        <v>StrongLumio krycí lišta C k LED profilům naklapávací, mléčná - propustnost světla 70%</v>
      </c>
      <c r="C66" s="4" t="s">
        <v>409</v>
      </c>
      <c r="D66" t="s">
        <v>387</v>
      </c>
      <c r="E66" t="s">
        <v>410</v>
      </c>
      <c r="F66" t="s">
        <v>389</v>
      </c>
      <c r="G66" t="s">
        <v>390</v>
      </c>
      <c r="H66" t="s">
        <v>391</v>
      </c>
      <c r="J66" s="11" t="s">
        <v>227</v>
      </c>
      <c r="K66" s="4" t="s">
        <v>404</v>
      </c>
      <c r="L66" t="s">
        <v>257</v>
      </c>
      <c r="N66">
        <v>4100</v>
      </c>
      <c r="O66">
        <v>1000</v>
      </c>
      <c r="P66">
        <v>2000</v>
      </c>
      <c r="Q66">
        <v>3000</v>
      </c>
      <c r="R66">
        <v>4100</v>
      </c>
    </row>
    <row r="67" spans="1:18" x14ac:dyDescent="0.25">
      <c r="A67" t="str">
        <f>CONCATENATE(B67,"_",N67)</f>
        <v>StrongLumio krycí lišta C k LED profilům naklapávací, černá - propustnost světla 40%_4100</v>
      </c>
      <c r="B67" t="str">
        <f>IF($D$1=1,D:D,IF($D$1=2,E:E,IF($D$1=3,F:F,IF($D$1=4,G:G,IF($D$1=5,H:H)))))&amp;Překlady!$C$62&amp;K67</f>
        <v>StrongLumio krycí lišta C k LED profilům naklapávací, černá - propustnost světla 40%</v>
      </c>
      <c r="C67" s="4" t="s">
        <v>411</v>
      </c>
      <c r="D67" t="s">
        <v>412</v>
      </c>
      <c r="E67" t="s">
        <v>413</v>
      </c>
      <c r="F67" t="s">
        <v>406</v>
      </c>
      <c r="G67" t="s">
        <v>396</v>
      </c>
      <c r="H67" t="s">
        <v>414</v>
      </c>
      <c r="J67" s="11" t="s">
        <v>227</v>
      </c>
      <c r="K67" s="4" t="s">
        <v>398</v>
      </c>
      <c r="L67" t="s">
        <v>257</v>
      </c>
      <c r="N67">
        <v>4100</v>
      </c>
      <c r="O67">
        <v>2000</v>
      </c>
      <c r="P67">
        <v>3000</v>
      </c>
      <c r="Q67">
        <v>4100</v>
      </c>
    </row>
    <row r="68" spans="1:18" x14ac:dyDescent="0.25">
      <c r="C68" s="4"/>
      <c r="K68" s="4"/>
    </row>
    <row r="69" spans="1:18" x14ac:dyDescent="0.25">
      <c r="A69" t="str">
        <f>CONCATENATE(B69,"_",N69)</f>
        <v>StrongLumio krycí lišta C k LED profilům naklapávací, průsvitná - propustnost světla 95%_1000</v>
      </c>
      <c r="B69" t="str">
        <f>IF($D$1=1,D:D,IF($D$1=2,E:E,IF($D$1=3,F:F,IF($D$1=4,G:G,IF($D$1=5,H:H)))))&amp;Překlady!$C$62&amp;K69</f>
        <v>StrongLumio krycí lišta C k LED profilům naklapávací, průsvitná - propustnost světla 95%</v>
      </c>
      <c r="C69" s="4" t="s">
        <v>415</v>
      </c>
      <c r="D69" t="s">
        <v>381</v>
      </c>
      <c r="E69" t="s">
        <v>382</v>
      </c>
      <c r="F69" t="s">
        <v>383</v>
      </c>
      <c r="G69" t="s">
        <v>384</v>
      </c>
      <c r="H69" t="s">
        <v>416</v>
      </c>
      <c r="J69" s="11" t="s">
        <v>227</v>
      </c>
      <c r="K69" s="4" t="s">
        <v>402</v>
      </c>
      <c r="L69" t="s">
        <v>272</v>
      </c>
      <c r="N69">
        <v>1000</v>
      </c>
      <c r="O69">
        <v>1000</v>
      </c>
      <c r="P69">
        <v>2000</v>
      </c>
      <c r="Q69">
        <v>3000</v>
      </c>
      <c r="R69">
        <v>4100</v>
      </c>
    </row>
    <row r="70" spans="1:18" x14ac:dyDescent="0.25">
      <c r="A70" t="str">
        <f>CONCATENATE(B70,"_",N70)</f>
        <v>StrongLumio krycí lišta C k LED profilům naklapávací, mléčná - propustnost světla 70%_1000</v>
      </c>
      <c r="B70" t="str">
        <f>IF($D$1=1,D:D,IF($D$1=2,E:E,IF($D$1=3,F:F,IF($D$1=4,G:G,IF($D$1=5,H:H)))))&amp;Překlady!$C$62&amp;K70</f>
        <v>StrongLumio krycí lišta C k LED profilům naklapávací, mléčná - propustnost světla 70%</v>
      </c>
      <c r="C70" s="4" t="s">
        <v>417</v>
      </c>
      <c r="D70" t="s">
        <v>387</v>
      </c>
      <c r="E70" t="s">
        <v>418</v>
      </c>
      <c r="F70" t="s">
        <v>389</v>
      </c>
      <c r="G70" t="s">
        <v>390</v>
      </c>
      <c r="H70" t="s">
        <v>391</v>
      </c>
      <c r="J70" s="11" t="s">
        <v>227</v>
      </c>
      <c r="K70" s="4" t="s">
        <v>404</v>
      </c>
      <c r="L70" t="s">
        <v>272</v>
      </c>
      <c r="N70">
        <v>1000</v>
      </c>
      <c r="O70">
        <v>1000</v>
      </c>
      <c r="P70">
        <v>2000</v>
      </c>
      <c r="Q70">
        <v>3000</v>
      </c>
      <c r="R70">
        <v>4100</v>
      </c>
    </row>
    <row r="71" spans="1:18" x14ac:dyDescent="0.25">
      <c r="C71" s="4"/>
      <c r="K71" s="4"/>
    </row>
    <row r="72" spans="1:18" x14ac:dyDescent="0.25">
      <c r="A72" t="str">
        <f>CONCATENATE(B72,"_",N72)</f>
        <v>StrongLumio krycí lišta J Begtin/Begton 12 naklapávací/násuvná, mléčná - propustnost světla 75%_2000</v>
      </c>
      <c r="B72" t="str">
        <f>IF($D$1=1,D:D,IF($D$1=2,E:E,IF($D$1=3,F:F,IF($D$1=4,G:G,IF($D$1=5,H:H)))))&amp;Překlady!$C$62&amp;K72</f>
        <v>StrongLumio krycí lišta J Begtin/Begton 12 naklapávací/násuvná, mléčná - propustnost světla 75%</v>
      </c>
      <c r="C72" s="11" t="s">
        <v>419</v>
      </c>
      <c r="D72" s="11" t="s">
        <v>420</v>
      </c>
      <c r="E72" s="11" t="s">
        <v>421</v>
      </c>
      <c r="F72" s="11" t="s">
        <v>422</v>
      </c>
      <c r="G72" s="11" t="s">
        <v>423</v>
      </c>
      <c r="H72" s="11" t="s">
        <v>424</v>
      </c>
      <c r="J72" s="11" t="s">
        <v>227</v>
      </c>
      <c r="K72" s="4" t="s">
        <v>392</v>
      </c>
      <c r="L72" t="s">
        <v>425</v>
      </c>
      <c r="N72">
        <v>2000</v>
      </c>
      <c r="O72">
        <v>2000</v>
      </c>
    </row>
    <row r="73" spans="1:18" x14ac:dyDescent="0.25">
      <c r="A73" t="str">
        <f>CONCATENATE(B73,"_",N73)</f>
        <v>StrongLumio krycí lišta J Begtin/Begton 12 naklapávací/násuvná, průsvitná - propustnost světla 90%_2000</v>
      </c>
      <c r="B73" t="str">
        <f>IF($D$1=1,D:D,IF($D$1=2,E:E,IF($D$1=3,F:F,IF($D$1=4,G:G,IF($D$1=5,H:H)))))&amp;Překlady!$C$62&amp;K73</f>
        <v>StrongLumio krycí lišta J Begtin/Begton 12 naklapávací/násuvná, průsvitná - propustnost světla 90%</v>
      </c>
      <c r="C73" s="11" t="s">
        <v>426</v>
      </c>
      <c r="D73" s="11" t="s">
        <v>427</v>
      </c>
      <c r="E73" s="11" t="s">
        <v>428</v>
      </c>
      <c r="F73" s="11" t="s">
        <v>429</v>
      </c>
      <c r="G73" s="11" t="s">
        <v>430</v>
      </c>
      <c r="H73" s="11" t="s">
        <v>431</v>
      </c>
      <c r="J73" s="11" t="s">
        <v>227</v>
      </c>
      <c r="K73" s="4" t="s">
        <v>432</v>
      </c>
      <c r="L73" t="s">
        <v>425</v>
      </c>
      <c r="N73">
        <v>2000</v>
      </c>
      <c r="O73">
        <v>2000</v>
      </c>
      <c r="P73">
        <v>3000</v>
      </c>
    </row>
    <row r="74" spans="1:18" x14ac:dyDescent="0.25">
      <c r="C74" s="4"/>
      <c r="K74" s="4"/>
    </row>
    <row r="75" spans="1:18" x14ac:dyDescent="0.25">
      <c r="A75" t="str">
        <f>CONCATENATE(B75,"_",N75)</f>
        <v>StrongLumio krycí lišta J Begtin/Begton 12 naklapávací/násuvná, průsvitná - propustnost světla 90%_3000</v>
      </c>
      <c r="B75" t="str">
        <f>IF($D$1=1,D:D,IF($D$1=2,E:E,IF($D$1=3,F:F,IF($D$1=4,G:G,IF($D$1=5,H:H)))))&amp;Překlady!$C$62&amp;K75</f>
        <v>StrongLumio krycí lišta J Begtin/Begton 12 naklapávací/násuvná, průsvitná - propustnost světla 90%</v>
      </c>
      <c r="C75" s="11" t="s">
        <v>433</v>
      </c>
      <c r="D75" s="11" t="s">
        <v>427</v>
      </c>
      <c r="E75" s="11" t="s">
        <v>428</v>
      </c>
      <c r="F75" s="11" t="s">
        <v>429</v>
      </c>
      <c r="G75" s="11" t="s">
        <v>434</v>
      </c>
      <c r="H75" s="11" t="s">
        <v>431</v>
      </c>
      <c r="J75" s="11" t="s">
        <v>227</v>
      </c>
      <c r="K75" s="4" t="s">
        <v>432</v>
      </c>
      <c r="L75" t="s">
        <v>144</v>
      </c>
      <c r="N75">
        <v>3000</v>
      </c>
      <c r="O75">
        <v>2000</v>
      </c>
      <c r="P75">
        <v>3000</v>
      </c>
    </row>
    <row r="76" spans="1:18" x14ac:dyDescent="0.25">
      <c r="C76" s="4"/>
      <c r="K76" s="4"/>
    </row>
    <row r="77" spans="1:18" x14ac:dyDescent="0.25">
      <c r="A77" t="str">
        <f>CONCATENATE(B77,"_",N77)</f>
        <v>StrongLumio krycí lišta E k profilu Cabi naklapávací/násuvná, průsvitná - propustnost světla 90%_2000</v>
      </c>
      <c r="B77" t="str">
        <f>IF($D$1=1,D:D,IF($D$1=2,E:E,IF($D$1=3,F:F,IF($D$1=4,G:G,IF($D$1=5,H:H)))))&amp;Překlady!$C$62&amp;K77</f>
        <v>StrongLumio krycí lišta E k profilu Cabi naklapávací/násuvná, průsvitná - propustnost světla 90%</v>
      </c>
      <c r="C77" s="4" t="s">
        <v>435</v>
      </c>
      <c r="D77" t="s">
        <v>436</v>
      </c>
      <c r="E77" t="s">
        <v>437</v>
      </c>
      <c r="F77" t="s">
        <v>438</v>
      </c>
      <c r="G77" t="s">
        <v>439</v>
      </c>
      <c r="H77" t="s">
        <v>440</v>
      </c>
      <c r="J77" s="11" t="s">
        <v>227</v>
      </c>
      <c r="K77" s="4" t="s">
        <v>432</v>
      </c>
      <c r="L77" t="s">
        <v>366</v>
      </c>
      <c r="N77">
        <v>2000</v>
      </c>
      <c r="O77">
        <v>2000</v>
      </c>
    </row>
    <row r="78" spans="1:18" x14ac:dyDescent="0.25">
      <c r="A78" t="str">
        <f>CONCATENATE(B78,"_",N78)</f>
        <v>StrongLumio krycí lišta E k profilu Cabi naklapávací/násuvná, mléčná - propustnost světla 70%_2000</v>
      </c>
      <c r="B78" t="str">
        <f>IF($D$1=1,D:D,IF($D$1=2,E:E,IF($D$1=3,F:F,IF($D$1=4,G:G,IF($D$1=5,H:H)))))&amp;Překlady!$C$62&amp;K78</f>
        <v>StrongLumio krycí lišta E k profilu Cabi naklapávací/násuvná, mléčná - propustnost světla 70%</v>
      </c>
      <c r="C78" s="4" t="s">
        <v>441</v>
      </c>
      <c r="D78" t="s">
        <v>442</v>
      </c>
      <c r="E78" t="s">
        <v>443</v>
      </c>
      <c r="F78" t="s">
        <v>444</v>
      </c>
      <c r="G78" t="s">
        <v>445</v>
      </c>
      <c r="H78" t="s">
        <v>446</v>
      </c>
      <c r="J78" s="11" t="s">
        <v>227</v>
      </c>
      <c r="K78" s="4" t="s">
        <v>404</v>
      </c>
      <c r="L78" t="s">
        <v>366</v>
      </c>
      <c r="N78">
        <v>2000</v>
      </c>
      <c r="O78">
        <v>2000</v>
      </c>
    </row>
    <row r="80" spans="1:18" x14ac:dyDescent="0.25">
      <c r="A80" s="31"/>
    </row>
    <row r="81" spans="1:10" x14ac:dyDescent="0.25">
      <c r="A81" s="31" t="s">
        <v>236</v>
      </c>
      <c r="B81" t="str">
        <f t="shared" ref="B81:B99" si="4">IF($D$1=1,D:D,IF($D$1=2,E:E,IF($D$1=3,F:F,IF($D$1=4,G:G,IF($D$1=5,H:H)))))</f>
        <v>StrongLumio koncovky k profilu Surface 10 gen2 bílá (pár)</v>
      </c>
      <c r="C81" s="4" t="s">
        <v>236</v>
      </c>
      <c r="D81" t="s">
        <v>447</v>
      </c>
      <c r="E81" t="s">
        <v>448</v>
      </c>
      <c r="F81" t="s">
        <v>449</v>
      </c>
      <c r="G81" t="s">
        <v>450</v>
      </c>
    </row>
    <row r="82" spans="1:10" x14ac:dyDescent="0.25">
      <c r="A82" s="31" t="s">
        <v>229</v>
      </c>
      <c r="B82" t="str">
        <f t="shared" si="4"/>
        <v>StrongLumio koncovky k profilu Begton 12 oblá, bílá (pár)</v>
      </c>
      <c r="C82" s="4" t="s">
        <v>229</v>
      </c>
      <c r="D82" t="s">
        <v>451</v>
      </c>
      <c r="E82" t="s">
        <v>452</v>
      </c>
      <c r="F82" t="s">
        <v>453</v>
      </c>
      <c r="G82" t="s">
        <v>454</v>
      </c>
    </row>
    <row r="83" spans="1:10" x14ac:dyDescent="0.25">
      <c r="A83" s="31" t="s">
        <v>245</v>
      </c>
      <c r="B83" t="str">
        <f t="shared" si="4"/>
        <v>StrongLumio koncovky k profilu Begton 12 oblá, černá (pár)</v>
      </c>
      <c r="C83" s="4" t="s">
        <v>245</v>
      </c>
      <c r="D83" t="s">
        <v>455</v>
      </c>
      <c r="E83" t="s">
        <v>456</v>
      </c>
      <c r="F83" t="s">
        <v>457</v>
      </c>
      <c r="G83" t="s">
        <v>458</v>
      </c>
    </row>
    <row r="84" spans="1:10" x14ac:dyDescent="0.25">
      <c r="A84" s="31" t="s">
        <v>252</v>
      </c>
      <c r="B84" t="str">
        <f t="shared" si="4"/>
        <v>StrongLumio koncovky k profilu Surface 10 gen2 černá (pár)</v>
      </c>
      <c r="C84" s="4" t="s">
        <v>252</v>
      </c>
      <c r="D84" t="s">
        <v>459</v>
      </c>
      <c r="E84" t="s">
        <v>460</v>
      </c>
      <c r="F84" t="s">
        <v>461</v>
      </c>
      <c r="G84" t="s">
        <v>462</v>
      </c>
    </row>
    <row r="85" spans="1:10" x14ac:dyDescent="0.25">
      <c r="A85" s="31" t="s">
        <v>264</v>
      </c>
      <c r="B85" t="str">
        <f t="shared" si="4"/>
        <v>StrongLumio koncovky k profilu Begton 12 oblá, šedá (pár)</v>
      </c>
      <c r="C85" s="4" t="s">
        <v>264</v>
      </c>
      <c r="D85" t="s">
        <v>463</v>
      </c>
      <c r="E85" t="s">
        <v>463</v>
      </c>
      <c r="F85" t="s">
        <v>464</v>
      </c>
      <c r="G85" t="s">
        <v>465</v>
      </c>
    </row>
    <row r="86" spans="1:10" x14ac:dyDescent="0.25">
      <c r="A86" s="31" t="s">
        <v>294</v>
      </c>
      <c r="B86" t="str">
        <f t="shared" si="4"/>
        <v>StrongLumio koncovky k profilu Groove 10 gen2 kulatá bílá (pár)</v>
      </c>
      <c r="C86" s="4" t="s">
        <v>294</v>
      </c>
      <c r="D86" t="s">
        <v>466</v>
      </c>
      <c r="E86" t="s">
        <v>467</v>
      </c>
      <c r="F86" t="s">
        <v>468</v>
      </c>
      <c r="G86" t="s">
        <v>469</v>
      </c>
    </row>
    <row r="87" spans="1:10" x14ac:dyDescent="0.25">
      <c r="A87" s="31" t="s">
        <v>313</v>
      </c>
      <c r="B87" t="str">
        <f t="shared" si="4"/>
        <v>StrongLumio koncovky k profilu Groove 10 gen2 kulatá černá (pár)</v>
      </c>
      <c r="C87" s="4" t="s">
        <v>313</v>
      </c>
      <c r="D87" t="s">
        <v>470</v>
      </c>
      <c r="E87" t="s">
        <v>471</v>
      </c>
      <c r="F87" t="s">
        <v>472</v>
      </c>
      <c r="G87" t="s">
        <v>473</v>
      </c>
      <c r="J87" s="11"/>
    </row>
    <row r="88" spans="1:10" x14ac:dyDescent="0.25">
      <c r="A88" s="31" t="s">
        <v>333</v>
      </c>
      <c r="B88" t="str">
        <f t="shared" si="4"/>
        <v>StrongLumio koncovky k profilu Groove 10 rovná šedá (pár)</v>
      </c>
      <c r="C88" s="4" t="s">
        <v>333</v>
      </c>
      <c r="D88" t="s">
        <v>474</v>
      </c>
      <c r="E88" t="s">
        <v>475</v>
      </c>
      <c r="F88" t="s">
        <v>476</v>
      </c>
      <c r="G88" t="s">
        <v>477</v>
      </c>
    </row>
    <row r="89" spans="1:10" x14ac:dyDescent="0.25">
      <c r="A89" s="31" t="s">
        <v>273</v>
      </c>
      <c r="B89" t="str">
        <f t="shared" si="4"/>
        <v>StrongLumio koncovky k profilu Surface 10 gen2 šedá (pár)</v>
      </c>
      <c r="C89" s="4" t="s">
        <v>273</v>
      </c>
      <c r="D89" t="s">
        <v>478</v>
      </c>
      <c r="E89" t="s">
        <v>479</v>
      </c>
      <c r="F89" t="s">
        <v>480</v>
      </c>
      <c r="G89" t="s">
        <v>481</v>
      </c>
    </row>
    <row r="90" spans="1:10" x14ac:dyDescent="0.25">
      <c r="A90" s="31" t="s">
        <v>286</v>
      </c>
      <c r="B90" t="str">
        <f t="shared" si="4"/>
        <v>StrongLumio koncovky k profilu Begtin 12, bílá (pár)</v>
      </c>
      <c r="C90" s="4" t="s">
        <v>286</v>
      </c>
      <c r="D90" t="s">
        <v>482</v>
      </c>
      <c r="E90" t="s">
        <v>483</v>
      </c>
      <c r="F90" t="s">
        <v>484</v>
      </c>
      <c r="G90" t="s">
        <v>485</v>
      </c>
    </row>
    <row r="91" spans="1:10" x14ac:dyDescent="0.25">
      <c r="A91" s="31" t="s">
        <v>293</v>
      </c>
      <c r="B91" t="str">
        <f t="shared" si="4"/>
        <v>StrongLumio koncovky k profilu Groove 10 rovná (pár) bílá</v>
      </c>
      <c r="C91" s="4" t="s">
        <v>293</v>
      </c>
      <c r="D91" t="s">
        <v>486</v>
      </c>
      <c r="E91" t="s">
        <v>487</v>
      </c>
      <c r="F91" t="s">
        <v>488</v>
      </c>
      <c r="G91" t="s">
        <v>489</v>
      </c>
    </row>
    <row r="92" spans="1:10" x14ac:dyDescent="0.25">
      <c r="A92" s="31" t="s">
        <v>304</v>
      </c>
      <c r="B92" t="str">
        <f t="shared" si="4"/>
        <v>StrongLumio koncovky k profilu Begtin 12, černá (pár)</v>
      </c>
      <c r="C92" s="4" t="s">
        <v>304</v>
      </c>
      <c r="D92" t="s">
        <v>145</v>
      </c>
      <c r="E92" t="s">
        <v>490</v>
      </c>
      <c r="F92" t="s">
        <v>491</v>
      </c>
      <c r="G92" t="s">
        <v>492</v>
      </c>
    </row>
    <row r="93" spans="1:10" x14ac:dyDescent="0.25">
      <c r="A93" s="31" t="s">
        <v>312</v>
      </c>
      <c r="B93" t="str">
        <f t="shared" si="4"/>
        <v>StrongLumio koncovky k profilu Groove 10 rovná černá (pár)</v>
      </c>
      <c r="C93" s="4" t="s">
        <v>312</v>
      </c>
      <c r="D93" t="s">
        <v>493</v>
      </c>
      <c r="E93" t="s">
        <v>494</v>
      </c>
      <c r="F93" t="s">
        <v>495</v>
      </c>
      <c r="G93" t="s">
        <v>496</v>
      </c>
    </row>
    <row r="94" spans="1:10" x14ac:dyDescent="0.25">
      <c r="A94" s="31" t="s">
        <v>324</v>
      </c>
      <c r="B94" t="str">
        <f t="shared" si="4"/>
        <v>StrongLumio koncovky k profilu Begtin 12, šedá (pár)</v>
      </c>
      <c r="C94" s="4" t="s">
        <v>324</v>
      </c>
      <c r="D94" t="s">
        <v>497</v>
      </c>
      <c r="E94" t="s">
        <v>497</v>
      </c>
      <c r="F94" t="s">
        <v>498</v>
      </c>
      <c r="G94" t="s">
        <v>499</v>
      </c>
    </row>
    <row r="95" spans="1:10" x14ac:dyDescent="0.25">
      <c r="A95" s="31" t="s">
        <v>332</v>
      </c>
      <c r="B95" t="str">
        <f t="shared" si="4"/>
        <v>StrongLumio koncovky k profilu Groove 10 gen2 kulatá šedá (pár)</v>
      </c>
      <c r="C95" s="4" t="s">
        <v>332</v>
      </c>
      <c r="D95" t="s">
        <v>500</v>
      </c>
      <c r="E95" t="s">
        <v>501</v>
      </c>
      <c r="F95" t="s">
        <v>502</v>
      </c>
      <c r="G95" t="s">
        <v>503</v>
      </c>
    </row>
    <row r="96" spans="1:10" x14ac:dyDescent="0.25">
      <c r="A96" s="31" t="s">
        <v>344</v>
      </c>
      <c r="B96" t="str">
        <f t="shared" si="4"/>
        <v>StrongLumio koncovky k profilu Corner 10 gen2 bílá (pár)</v>
      </c>
      <c r="C96" s="4" t="s">
        <v>344</v>
      </c>
      <c r="D96" t="s">
        <v>504</v>
      </c>
      <c r="E96" t="s">
        <v>505</v>
      </c>
      <c r="F96" t="s">
        <v>506</v>
      </c>
      <c r="G96" t="s">
        <v>507</v>
      </c>
    </row>
    <row r="97" spans="1:17" x14ac:dyDescent="0.25">
      <c r="A97" s="31" t="s">
        <v>354</v>
      </c>
      <c r="B97" t="str">
        <f t="shared" si="4"/>
        <v>StrongLumio koncovky k profilu Corner 10 gen2 černá (pár)</v>
      </c>
      <c r="C97" s="4" t="s">
        <v>354</v>
      </c>
      <c r="D97" t="s">
        <v>508</v>
      </c>
      <c r="E97" t="s">
        <v>509</v>
      </c>
      <c r="F97" t="s">
        <v>510</v>
      </c>
      <c r="G97" t="s">
        <v>511</v>
      </c>
    </row>
    <row r="98" spans="1:17" x14ac:dyDescent="0.25">
      <c r="A98" s="31" t="s">
        <v>367</v>
      </c>
      <c r="B98" t="str">
        <f t="shared" si="4"/>
        <v>StrongLumio koncovky k profilu Cabi, šedá (pár)</v>
      </c>
      <c r="C98" s="4" t="s">
        <v>367</v>
      </c>
      <c r="D98" t="s">
        <v>512</v>
      </c>
      <c r="E98" t="s">
        <v>512</v>
      </c>
      <c r="F98" t="s">
        <v>513</v>
      </c>
      <c r="G98" t="s">
        <v>514</v>
      </c>
    </row>
    <row r="99" spans="1:17" x14ac:dyDescent="0.25">
      <c r="A99" s="31" t="s">
        <v>374</v>
      </c>
      <c r="B99" t="str">
        <f t="shared" si="4"/>
        <v>StrongLumio koncovky k profilu Corner 10 gen2 šedá (pár)</v>
      </c>
      <c r="C99" s="4" t="s">
        <v>374</v>
      </c>
      <c r="D99" t="s">
        <v>515</v>
      </c>
      <c r="E99" t="s">
        <v>516</v>
      </c>
      <c r="F99" t="s">
        <v>517</v>
      </c>
      <c r="G99" t="s">
        <v>518</v>
      </c>
    </row>
    <row r="106" spans="1:17" x14ac:dyDescent="0.25">
      <c r="B106" s="46" t="s">
        <v>519</v>
      </c>
      <c r="K106" s="38" t="s">
        <v>520</v>
      </c>
      <c r="L106" s="38" t="s">
        <v>212</v>
      </c>
      <c r="M106" s="38" t="s">
        <v>521</v>
      </c>
      <c r="N106" s="38" t="s">
        <v>522</v>
      </c>
      <c r="O106" s="38" t="s">
        <v>180</v>
      </c>
      <c r="P106" s="38" t="s">
        <v>523</v>
      </c>
      <c r="Q106" s="27" t="s">
        <v>20</v>
      </c>
    </row>
    <row r="107" spans="1:17" x14ac:dyDescent="0.25">
      <c r="A107" s="37" t="str">
        <f>CONCATENATE(K107,"V","_",N107,"_",L107,"_",O107)</f>
        <v>12V_COB_neutrální+- 4000K_střední (do 1000 lm/m)</v>
      </c>
      <c r="B107" t="str">
        <f t="shared" ref="B107:B154" si="5">IF($D$1=1,D:D,IF($D$1=2,E:E,IF($D$1=3,F:F,IF($D$1=4,G:G,IF($D$1=5,H:H)))))</f>
        <v>StrongLumio LED pásek COB 12V 10W/m (480 LED/m) 8mm, bílá neutrální</v>
      </c>
      <c r="C107" s="65" t="s">
        <v>5082</v>
      </c>
      <c r="D107" s="39" t="s">
        <v>524</v>
      </c>
      <c r="E107" s="39" t="s">
        <v>525</v>
      </c>
      <c r="F107" s="40" t="s">
        <v>526</v>
      </c>
      <c r="G107" s="40" t="s">
        <v>527</v>
      </c>
      <c r="H107" s="40" t="s">
        <v>528</v>
      </c>
      <c r="I107" s="36"/>
      <c r="J107" s="36"/>
      <c r="K107" s="39">
        <v>12</v>
      </c>
      <c r="L107" s="39" t="str">
        <f>Překlady!C73</f>
        <v>neutrální+- 4000K</v>
      </c>
      <c r="M107" s="39">
        <v>10</v>
      </c>
      <c r="N107" s="39" t="s">
        <v>173</v>
      </c>
      <c r="O107" s="39" t="str">
        <f>Překlady!C77</f>
        <v>střední (do 1000 lm/m)</v>
      </c>
      <c r="P107" s="41" t="s">
        <v>529</v>
      </c>
      <c r="Q107">
        <f>M107/K107</f>
        <v>0.83333333333333337</v>
      </c>
    </row>
    <row r="108" spans="1:17" x14ac:dyDescent="0.25">
      <c r="A108" s="37" t="str">
        <f t="shared" ref="A108:A154" si="6">CONCATENATE(K108,"V","_",N108,"_",L108,"_",O108)</f>
        <v>12V_COB_neutrální+- 4000K_střední (do 1000 lm/m)</v>
      </c>
      <c r="B108" t="str">
        <f t="shared" si="5"/>
        <v>StrongLumio LED pásek free cut COB 12V 12W/m (528 LED/m) 8mm, bílá neutrální</v>
      </c>
      <c r="C108" s="66" t="s">
        <v>5105</v>
      </c>
      <c r="D108" s="42" t="s">
        <v>530</v>
      </c>
      <c r="E108" s="42" t="s">
        <v>531</v>
      </c>
      <c r="F108" s="43" t="s">
        <v>532</v>
      </c>
      <c r="G108" s="43" t="s">
        <v>533</v>
      </c>
      <c r="H108" s="43" t="s">
        <v>534</v>
      </c>
      <c r="I108" s="33"/>
      <c r="J108" s="33"/>
      <c r="K108" s="42">
        <v>12</v>
      </c>
      <c r="L108" s="42" t="str">
        <f>Překlady!C73</f>
        <v>neutrální+- 4000K</v>
      </c>
      <c r="M108" s="42">
        <v>12</v>
      </c>
      <c r="N108" s="42" t="s">
        <v>173</v>
      </c>
      <c r="O108" s="42" t="str">
        <f>Překlady!C77</f>
        <v>střední (do 1000 lm/m)</v>
      </c>
      <c r="P108" s="44" t="s">
        <v>529</v>
      </c>
      <c r="Q108">
        <f t="shared" ref="Q108:Q154" si="7">M108/K108</f>
        <v>1</v>
      </c>
    </row>
    <row r="109" spans="1:17" x14ac:dyDescent="0.25">
      <c r="A109" s="37" t="str">
        <f t="shared" si="6"/>
        <v>12V_COB_teplá +-3000K_střední (do 1000 lm/m)</v>
      </c>
      <c r="B109" t="str">
        <f t="shared" si="5"/>
        <v>StrongLumio LED pásek COB 12V 10W/m (480 LED/m) 8mm, bílá teplá</v>
      </c>
      <c r="C109" s="65" t="s">
        <v>5084</v>
      </c>
      <c r="D109" s="39" t="s">
        <v>535</v>
      </c>
      <c r="E109" s="39" t="s">
        <v>536</v>
      </c>
      <c r="F109" s="40" t="s">
        <v>537</v>
      </c>
      <c r="G109" s="40" t="s">
        <v>538</v>
      </c>
      <c r="H109" s="40" t="s">
        <v>539</v>
      </c>
      <c r="I109" s="36"/>
      <c r="J109" s="36"/>
      <c r="K109" s="39">
        <v>12</v>
      </c>
      <c r="L109" s="39" t="str">
        <f>Překlady!C72</f>
        <v>teplá +-3000K</v>
      </c>
      <c r="M109" s="39">
        <v>10</v>
      </c>
      <c r="N109" s="39" t="s">
        <v>173</v>
      </c>
      <c r="O109" s="39" t="str">
        <f>Překlady!C77</f>
        <v>střední (do 1000 lm/m)</v>
      </c>
      <c r="P109" s="41" t="s">
        <v>529</v>
      </c>
      <c r="Q109">
        <f t="shared" si="7"/>
        <v>0.83333333333333337</v>
      </c>
    </row>
    <row r="110" spans="1:17" x14ac:dyDescent="0.25">
      <c r="A110" s="37" t="str">
        <f t="shared" si="6"/>
        <v>12V_COB_teplá +-3000K_střední (do 1000 lm/m)</v>
      </c>
      <c r="B110" t="str">
        <f t="shared" si="5"/>
        <v>StrongLumio LED pásek free cut COB 12V 12W/m (528 LED/m) 8mm, bílá teplá</v>
      </c>
      <c r="C110" s="66" t="s">
        <v>5107</v>
      </c>
      <c r="D110" s="42" t="s">
        <v>540</v>
      </c>
      <c r="E110" s="42" t="s">
        <v>541</v>
      </c>
      <c r="F110" s="43" t="s">
        <v>542</v>
      </c>
      <c r="G110" s="43" t="s">
        <v>543</v>
      </c>
      <c r="H110" s="43" t="s">
        <v>544</v>
      </c>
      <c r="I110" s="33"/>
      <c r="J110" s="33"/>
      <c r="K110" s="42">
        <v>12</v>
      </c>
      <c r="L110" s="42" t="str">
        <f>Překlady!C72</f>
        <v>teplá +-3000K</v>
      </c>
      <c r="M110" s="42">
        <v>12</v>
      </c>
      <c r="N110" s="42" t="s">
        <v>173</v>
      </c>
      <c r="O110" s="42" t="str">
        <f>Překlady!C77</f>
        <v>střední (do 1000 lm/m)</v>
      </c>
      <c r="P110" s="44" t="s">
        <v>529</v>
      </c>
      <c r="Q110">
        <f t="shared" si="7"/>
        <v>1</v>
      </c>
    </row>
    <row r="111" spans="1:17" x14ac:dyDescent="0.25">
      <c r="A111" s="37" t="str">
        <f t="shared" si="6"/>
        <v>12V_COB_studená +-6500K_střední (do 1000 lm/m)</v>
      </c>
      <c r="B111" t="str">
        <f t="shared" si="5"/>
        <v>StrongLumio LED pásek COB 12V 10W/m (480 LED/m) 8mm, bílá studená</v>
      </c>
      <c r="C111" s="65" t="s">
        <v>5083</v>
      </c>
      <c r="D111" s="39" t="s">
        <v>545</v>
      </c>
      <c r="E111" s="39" t="s">
        <v>546</v>
      </c>
      <c r="F111" s="40" t="s">
        <v>547</v>
      </c>
      <c r="G111" s="40" t="s">
        <v>548</v>
      </c>
      <c r="H111" s="40" t="s">
        <v>549</v>
      </c>
      <c r="I111" s="36"/>
      <c r="J111" s="36"/>
      <c r="K111" s="39">
        <v>12</v>
      </c>
      <c r="L111" s="39" t="str">
        <f>Překlady!C74</f>
        <v>studená +-6500K</v>
      </c>
      <c r="M111" s="39">
        <v>10</v>
      </c>
      <c r="N111" s="39" t="s">
        <v>173</v>
      </c>
      <c r="O111" s="39" t="str">
        <f>Překlady!C77</f>
        <v>střední (do 1000 lm/m)</v>
      </c>
      <c r="P111" s="41" t="s">
        <v>529</v>
      </c>
      <c r="Q111">
        <f t="shared" si="7"/>
        <v>0.83333333333333337</v>
      </c>
    </row>
    <row r="112" spans="1:17" x14ac:dyDescent="0.25">
      <c r="A112" s="37" t="str">
        <f t="shared" si="6"/>
        <v>12V_COB_studená +-6500K_střední (do 1000 lm/m)</v>
      </c>
      <c r="B112" t="str">
        <f t="shared" si="5"/>
        <v>StrongLumio LED pásek free cut COB 12V 12W/m (528 LED/m) 8mm, bílá studená</v>
      </c>
      <c r="C112" s="66" t="s">
        <v>5106</v>
      </c>
      <c r="D112" s="42" t="s">
        <v>550</v>
      </c>
      <c r="E112" s="42" t="s">
        <v>551</v>
      </c>
      <c r="F112" s="43" t="s">
        <v>552</v>
      </c>
      <c r="G112" s="43" t="s">
        <v>553</v>
      </c>
      <c r="H112" s="43" t="s">
        <v>554</v>
      </c>
      <c r="I112" s="33"/>
      <c r="J112" s="33"/>
      <c r="K112" s="42">
        <v>12</v>
      </c>
      <c r="L112" s="42" t="str">
        <f>Překlady!C74</f>
        <v>studená +-6500K</v>
      </c>
      <c r="M112" s="42">
        <v>12</v>
      </c>
      <c r="N112" s="42" t="s">
        <v>173</v>
      </c>
      <c r="O112" s="42" t="str">
        <f>Překlady!C77</f>
        <v>střední (do 1000 lm/m)</v>
      </c>
      <c r="P112" s="44" t="s">
        <v>529</v>
      </c>
      <c r="Q112">
        <f t="shared" si="7"/>
        <v>1</v>
      </c>
    </row>
    <row r="113" spans="1:17" x14ac:dyDescent="0.25">
      <c r="A113" s="37" t="str">
        <f t="shared" si="6"/>
        <v>24V_COB_teplá +-3000K_střední (do 1000 lm/m)</v>
      </c>
      <c r="B113" t="str">
        <f t="shared" si="5"/>
        <v>StrongLumio LED pásek COB 24V 8W/m (320 LED/m) 5mm, bílá teplá</v>
      </c>
      <c r="C113" s="65" t="s">
        <v>5103</v>
      </c>
      <c r="D113" s="39" t="s">
        <v>555</v>
      </c>
      <c r="E113" s="39" t="s">
        <v>556</v>
      </c>
      <c r="F113" s="40" t="s">
        <v>557</v>
      </c>
      <c r="G113" s="40" t="s">
        <v>558</v>
      </c>
      <c r="H113" s="40" t="s">
        <v>559</v>
      </c>
      <c r="I113" s="36"/>
      <c r="J113" s="36"/>
      <c r="K113" s="39">
        <v>24</v>
      </c>
      <c r="L113" s="39" t="str">
        <f>Překlady!C72</f>
        <v>teplá +-3000K</v>
      </c>
      <c r="M113" s="39">
        <v>8</v>
      </c>
      <c r="N113" s="39" t="s">
        <v>173</v>
      </c>
      <c r="O113" s="39" t="str">
        <f>Překlady!C77</f>
        <v>střední (do 1000 lm/m)</v>
      </c>
      <c r="P113" s="41" t="s">
        <v>560</v>
      </c>
      <c r="Q113">
        <f t="shared" si="7"/>
        <v>0.33333333333333331</v>
      </c>
    </row>
    <row r="114" spans="1:17" x14ac:dyDescent="0.25">
      <c r="A114" s="37" t="str">
        <f t="shared" si="6"/>
        <v>24V_COB_teplá +-3000K_střední (do 1000 lm/m)</v>
      </c>
      <c r="B114" t="str">
        <f t="shared" si="5"/>
        <v>StrongLumio LED pásek free cut COB 24V 12W/m (528 LED/m) 8mm, bílá teplá</v>
      </c>
      <c r="C114" s="66" t="s">
        <v>5110</v>
      </c>
      <c r="D114" s="42" t="s">
        <v>561</v>
      </c>
      <c r="E114" s="42" t="s">
        <v>562</v>
      </c>
      <c r="F114" s="43" t="s">
        <v>563</v>
      </c>
      <c r="G114" s="43" t="s">
        <v>564</v>
      </c>
      <c r="H114" s="43" t="s">
        <v>565</v>
      </c>
      <c r="I114" s="33"/>
      <c r="J114" s="33"/>
      <c r="K114" s="42">
        <v>24</v>
      </c>
      <c r="L114" s="42" t="str">
        <f>Překlady!C72</f>
        <v>teplá +-3000K</v>
      </c>
      <c r="M114" s="42">
        <v>12</v>
      </c>
      <c r="N114" s="42" t="s">
        <v>173</v>
      </c>
      <c r="O114" s="42" t="str">
        <f>Překlady!C77</f>
        <v>střední (do 1000 lm/m)</v>
      </c>
      <c r="P114" s="44" t="s">
        <v>529</v>
      </c>
      <c r="Q114">
        <f t="shared" si="7"/>
        <v>0.5</v>
      </c>
    </row>
    <row r="115" spans="1:17" x14ac:dyDescent="0.25">
      <c r="A115" s="37" t="str">
        <f t="shared" si="6"/>
        <v>24V_COB_teplá +-3000K_vysoká (do 2000 lm/m)</v>
      </c>
      <c r="B115" t="str">
        <f t="shared" si="5"/>
        <v>StrongLumio LED pásek COB 24V 14W/m (512 LED/m) 10mm, bílá teplá</v>
      </c>
      <c r="C115" s="65" t="s">
        <v>5096</v>
      </c>
      <c r="D115" s="39" t="s">
        <v>566</v>
      </c>
      <c r="E115" s="39" t="s">
        <v>567</v>
      </c>
      <c r="F115" s="40" t="s">
        <v>568</v>
      </c>
      <c r="G115" s="40" t="s">
        <v>569</v>
      </c>
      <c r="H115" s="40" t="s">
        <v>570</v>
      </c>
      <c r="I115" s="36"/>
      <c r="J115" s="36"/>
      <c r="K115" s="39">
        <v>24</v>
      </c>
      <c r="L115" s="39" t="str">
        <f>Překlady!C72</f>
        <v>teplá +-3000K</v>
      </c>
      <c r="M115" s="39">
        <v>14</v>
      </c>
      <c r="N115" s="39" t="s">
        <v>173</v>
      </c>
      <c r="O115" s="39" t="str">
        <f>Překlady!C78</f>
        <v>vysoká (do 2000 lm/m)</v>
      </c>
      <c r="P115" s="41" t="s">
        <v>571</v>
      </c>
      <c r="Q115">
        <f t="shared" si="7"/>
        <v>0.58333333333333337</v>
      </c>
    </row>
    <row r="116" spans="1:17" x14ac:dyDescent="0.25">
      <c r="A116" s="37" t="str">
        <f t="shared" si="6"/>
        <v>24V_COB_teplá +-3000K_vysoká (do 2000 lm/m)</v>
      </c>
      <c r="B116" t="str">
        <f t="shared" si="5"/>
        <v>StrongLumio LED pásek COB 24V 12W/m (480 LED/m) 8mm, bílá teplá</v>
      </c>
      <c r="C116" s="67" t="s">
        <v>5092</v>
      </c>
      <c r="D116" s="30" t="s">
        <v>572</v>
      </c>
      <c r="E116" s="30" t="s">
        <v>573</v>
      </c>
      <c r="F116" s="34" t="s">
        <v>574</v>
      </c>
      <c r="G116" s="34" t="s">
        <v>575</v>
      </c>
      <c r="H116" s="34" t="s">
        <v>576</v>
      </c>
      <c r="K116" s="30">
        <v>24</v>
      </c>
      <c r="L116" s="30" t="str">
        <f>Překlady!C72</f>
        <v>teplá +-3000K</v>
      </c>
      <c r="M116" s="30">
        <v>12</v>
      </c>
      <c r="N116" s="30" t="s">
        <v>173</v>
      </c>
      <c r="O116" s="30" t="str">
        <f>Překlady!C78</f>
        <v>vysoká (do 2000 lm/m)</v>
      </c>
      <c r="P116" s="45" t="s">
        <v>529</v>
      </c>
      <c r="Q116">
        <f t="shared" si="7"/>
        <v>0.5</v>
      </c>
    </row>
    <row r="117" spans="1:17" x14ac:dyDescent="0.25">
      <c r="A117" s="37" t="str">
        <f t="shared" si="6"/>
        <v>24V_COB_extra teplá +- 2000K_vysoká (do 2000 lm/m)</v>
      </c>
      <c r="B117" t="str">
        <f t="shared" si="5"/>
        <v>StrongLumio LED pásek COB 24V 12W/m (480 LED/m) 8mm, extra bílá teplá</v>
      </c>
      <c r="C117" s="66" t="s">
        <v>5093</v>
      </c>
      <c r="D117" s="42" t="s">
        <v>577</v>
      </c>
      <c r="E117" s="42" t="s">
        <v>578</v>
      </c>
      <c r="F117" s="43" t="s">
        <v>579</v>
      </c>
      <c r="G117" s="43" t="s">
        <v>580</v>
      </c>
      <c r="H117" s="43" t="s">
        <v>581</v>
      </c>
      <c r="I117" s="33"/>
      <c r="J117" s="33"/>
      <c r="K117" s="42">
        <v>24</v>
      </c>
      <c r="L117" s="42" t="str">
        <f>Překlady!C71</f>
        <v>extra teplá +- 2000K</v>
      </c>
      <c r="M117" s="42">
        <v>12</v>
      </c>
      <c r="N117" s="42" t="s">
        <v>173</v>
      </c>
      <c r="O117" s="42" t="str">
        <f>Překlady!C78</f>
        <v>vysoká (do 2000 lm/m)</v>
      </c>
      <c r="P117" s="44" t="s">
        <v>529</v>
      </c>
      <c r="Q117">
        <f t="shared" si="7"/>
        <v>0.5</v>
      </c>
    </row>
    <row r="118" spans="1:17" x14ac:dyDescent="0.25">
      <c r="A118" s="37" t="str">
        <f t="shared" si="6"/>
        <v>24V_COB_neutrální+- 4000K_střední (do 1000 lm/m)</v>
      </c>
      <c r="B118" t="str">
        <f t="shared" si="5"/>
        <v>StrongLumio LED pásek free cut COB 24V 12W/m (528 LED/m) 8mm, bílá neutrální</v>
      </c>
      <c r="C118" s="65" t="s">
        <v>5108</v>
      </c>
      <c r="D118" s="39" t="s">
        <v>582</v>
      </c>
      <c r="E118" s="39" t="s">
        <v>583</v>
      </c>
      <c r="F118" s="40" t="s">
        <v>584</v>
      </c>
      <c r="G118" s="40" t="s">
        <v>585</v>
      </c>
      <c r="H118" s="40" t="s">
        <v>586</v>
      </c>
      <c r="I118" s="36"/>
      <c r="J118" s="36"/>
      <c r="K118" s="39">
        <v>24</v>
      </c>
      <c r="L118" s="39" t="str">
        <f>Překlady!C73</f>
        <v>neutrální+- 4000K</v>
      </c>
      <c r="M118" s="39">
        <v>12</v>
      </c>
      <c r="N118" s="39" t="s">
        <v>173</v>
      </c>
      <c r="O118" s="39" t="str">
        <f>Překlady!C77</f>
        <v>střední (do 1000 lm/m)</v>
      </c>
      <c r="P118" s="41" t="s">
        <v>529</v>
      </c>
      <c r="Q118">
        <f t="shared" si="7"/>
        <v>0.5</v>
      </c>
    </row>
    <row r="119" spans="1:17" x14ac:dyDescent="0.25">
      <c r="A119" s="37" t="str">
        <f t="shared" si="6"/>
        <v>24V_COB_neutrální+- 4000K_střední (do 1000 lm/m)</v>
      </c>
      <c r="B119" t="str">
        <f t="shared" si="5"/>
        <v>StrongLumio LED pásek COB 24V 8W/m (320 LED/m) 5mm, bílá neutrální</v>
      </c>
      <c r="C119" s="66" t="s">
        <v>5101</v>
      </c>
      <c r="D119" s="42" t="s">
        <v>587</v>
      </c>
      <c r="E119" s="42" t="s">
        <v>588</v>
      </c>
      <c r="F119" s="43" t="s">
        <v>589</v>
      </c>
      <c r="G119" s="43" t="s">
        <v>590</v>
      </c>
      <c r="H119" s="43" t="s">
        <v>591</v>
      </c>
      <c r="I119" s="33"/>
      <c r="J119" s="33"/>
      <c r="K119" s="42">
        <v>24</v>
      </c>
      <c r="L119" s="42" t="str">
        <f>Překlady!C73</f>
        <v>neutrální+- 4000K</v>
      </c>
      <c r="M119" s="42">
        <v>8</v>
      </c>
      <c r="N119" s="42" t="s">
        <v>173</v>
      </c>
      <c r="O119" s="42" t="str">
        <f>Překlady!C77</f>
        <v>střední (do 1000 lm/m)</v>
      </c>
      <c r="P119" s="44" t="s">
        <v>560</v>
      </c>
      <c r="Q119">
        <f t="shared" si="7"/>
        <v>0.33333333333333331</v>
      </c>
    </row>
    <row r="120" spans="1:17" x14ac:dyDescent="0.25">
      <c r="A120" s="37" t="str">
        <f t="shared" si="6"/>
        <v>24V_COB_neutrální+- 4000K_vysoká (do 2000 lm/m)</v>
      </c>
      <c r="B120" t="str">
        <f t="shared" si="5"/>
        <v>StrongLumio LED pásek COB 24V 14W/m (512 LED/m) 10mm, bílá neutrální</v>
      </c>
      <c r="C120" s="65" t="s">
        <v>5094</v>
      </c>
      <c r="D120" s="39" t="s">
        <v>592</v>
      </c>
      <c r="E120" s="39" t="s">
        <v>593</v>
      </c>
      <c r="F120" s="40" t="s">
        <v>594</v>
      </c>
      <c r="G120" s="40" t="s">
        <v>595</v>
      </c>
      <c r="H120" s="40" t="s">
        <v>596</v>
      </c>
      <c r="I120" s="36"/>
      <c r="J120" s="36"/>
      <c r="K120" s="39">
        <v>24</v>
      </c>
      <c r="L120" s="39" t="str">
        <f>Překlady!C73</f>
        <v>neutrální+- 4000K</v>
      </c>
      <c r="M120" s="39">
        <v>14</v>
      </c>
      <c r="N120" s="39" t="s">
        <v>173</v>
      </c>
      <c r="O120" s="39" t="str">
        <f>Překlady!C78</f>
        <v>vysoká (do 2000 lm/m)</v>
      </c>
      <c r="P120" s="41" t="s">
        <v>571</v>
      </c>
      <c r="Q120">
        <f t="shared" si="7"/>
        <v>0.58333333333333337</v>
      </c>
    </row>
    <row r="121" spans="1:17" x14ac:dyDescent="0.25">
      <c r="A121" s="37" t="str">
        <f t="shared" si="6"/>
        <v>24V_COB_neutrální+- 4000K_vysoká (do 2000 lm/m)</v>
      </c>
      <c r="B121" t="str">
        <f t="shared" si="5"/>
        <v>StrongLumio LED pásek COB 24V 12W/m (480 LED/m) 8mm, bílá neutrální</v>
      </c>
      <c r="C121" s="67" t="s">
        <v>5090</v>
      </c>
      <c r="D121" s="30" t="s">
        <v>597</v>
      </c>
      <c r="E121" s="30" t="s">
        <v>598</v>
      </c>
      <c r="F121" s="34" t="s">
        <v>599</v>
      </c>
      <c r="G121" s="34" t="s">
        <v>600</v>
      </c>
      <c r="H121" s="34" t="s">
        <v>601</v>
      </c>
      <c r="K121" s="30">
        <v>24</v>
      </c>
      <c r="L121" s="30" t="str">
        <f>Překlady!C73</f>
        <v>neutrální+- 4000K</v>
      </c>
      <c r="M121" s="30">
        <v>12</v>
      </c>
      <c r="N121" s="30" t="s">
        <v>173</v>
      </c>
      <c r="O121" s="30" t="str">
        <f>Překlady!C78</f>
        <v>vysoká (do 2000 lm/m)</v>
      </c>
      <c r="P121" s="45" t="s">
        <v>529</v>
      </c>
      <c r="Q121">
        <f t="shared" si="7"/>
        <v>0.5</v>
      </c>
    </row>
    <row r="122" spans="1:17" x14ac:dyDescent="0.25">
      <c r="A122" s="37" t="str">
        <f t="shared" si="6"/>
        <v>24V_COB_studená +-6500K_střední (do 1000 lm/m)</v>
      </c>
      <c r="B122" t="str">
        <f t="shared" si="5"/>
        <v>StrongLumio LED pásek COB 24V 8W/m (320 LED/m) 5mm, bílá studená</v>
      </c>
      <c r="C122" s="65" t="s">
        <v>5102</v>
      </c>
      <c r="D122" s="39" t="s">
        <v>604</v>
      </c>
      <c r="E122" s="39" t="s">
        <v>605</v>
      </c>
      <c r="F122" s="40" t="s">
        <v>606</v>
      </c>
      <c r="G122" s="40" t="s">
        <v>607</v>
      </c>
      <c r="H122" s="40" t="s">
        <v>608</v>
      </c>
      <c r="I122" s="36"/>
      <c r="J122" s="36"/>
      <c r="K122" s="39">
        <v>24</v>
      </c>
      <c r="L122" s="39" t="str">
        <f>Překlady!C74</f>
        <v>studená +-6500K</v>
      </c>
      <c r="M122" s="39">
        <v>8</v>
      </c>
      <c r="N122" s="39" t="s">
        <v>173</v>
      </c>
      <c r="O122" s="39" t="str">
        <f>Překlady!C77</f>
        <v>střední (do 1000 lm/m)</v>
      </c>
      <c r="P122" s="41" t="s">
        <v>560</v>
      </c>
      <c r="Q122">
        <f t="shared" si="7"/>
        <v>0.33333333333333331</v>
      </c>
    </row>
    <row r="123" spans="1:17" x14ac:dyDescent="0.25">
      <c r="A123" s="37" t="str">
        <f t="shared" si="6"/>
        <v>24V_COB_studená +-6500K_střední (do 1000 lm/m)</v>
      </c>
      <c r="B123" t="str">
        <f t="shared" si="5"/>
        <v>StrongLumio LED pásek free cut COB 24V 12W/m (528 LED/m) 8mm, bílá studená</v>
      </c>
      <c r="C123" s="66" t="s">
        <v>5109</v>
      </c>
      <c r="D123" s="42" t="s">
        <v>609</v>
      </c>
      <c r="E123" s="42" t="s">
        <v>610</v>
      </c>
      <c r="F123" s="43" t="s">
        <v>611</v>
      </c>
      <c r="G123" s="43" t="s">
        <v>612</v>
      </c>
      <c r="H123" s="43" t="s">
        <v>613</v>
      </c>
      <c r="I123" s="33"/>
      <c r="J123" s="33"/>
      <c r="K123" s="42">
        <v>24</v>
      </c>
      <c r="L123" s="42" t="str">
        <f>Překlady!C74</f>
        <v>studená +-6500K</v>
      </c>
      <c r="M123" s="42">
        <v>12</v>
      </c>
      <c r="N123" s="42" t="s">
        <v>173</v>
      </c>
      <c r="O123" s="42" t="str">
        <f>Překlady!C77</f>
        <v>střední (do 1000 lm/m)</v>
      </c>
      <c r="P123" s="44" t="s">
        <v>529</v>
      </c>
      <c r="Q123">
        <f t="shared" si="7"/>
        <v>0.5</v>
      </c>
    </row>
    <row r="124" spans="1:17" x14ac:dyDescent="0.25">
      <c r="A124" s="37" t="str">
        <f t="shared" si="6"/>
        <v>24V_COB_studená +-6500K_vysoká (do 2000 lm/m)</v>
      </c>
      <c r="B124" t="str">
        <f t="shared" si="5"/>
        <v>StrongLumio LED pásek COB 24V 14W/m (512 LED/m) 10mm, bílá studená</v>
      </c>
      <c r="C124" s="65" t="s">
        <v>5095</v>
      </c>
      <c r="D124" s="39" t="s">
        <v>614</v>
      </c>
      <c r="E124" s="39" t="s">
        <v>615</v>
      </c>
      <c r="F124" s="40" t="s">
        <v>616</v>
      </c>
      <c r="G124" s="40" t="s">
        <v>617</v>
      </c>
      <c r="H124" s="40" t="s">
        <v>618</v>
      </c>
      <c r="I124" s="36"/>
      <c r="J124" s="36"/>
      <c r="K124" s="39">
        <v>24</v>
      </c>
      <c r="L124" s="39" t="str">
        <f>Překlady!C74</f>
        <v>studená +-6500K</v>
      </c>
      <c r="M124" s="39">
        <v>14</v>
      </c>
      <c r="N124" s="39" t="s">
        <v>173</v>
      </c>
      <c r="O124" s="39" t="str">
        <f>Překlady!C78</f>
        <v>vysoká (do 2000 lm/m)</v>
      </c>
      <c r="P124" s="41" t="s">
        <v>571</v>
      </c>
      <c r="Q124">
        <f t="shared" si="7"/>
        <v>0.58333333333333337</v>
      </c>
    </row>
    <row r="125" spans="1:17" x14ac:dyDescent="0.25">
      <c r="A125" s="37" t="str">
        <f t="shared" si="6"/>
        <v>24V_COB_studená +-6500K_vysoká (do 2000 lm/m)</v>
      </c>
      <c r="B125" t="str">
        <f t="shared" si="5"/>
        <v>StrongLumio LED pásek COB 24V 12W/m (480 LED/m) 8mm, bílá studená</v>
      </c>
      <c r="C125" s="66" t="s">
        <v>5091</v>
      </c>
      <c r="D125" s="42" t="s">
        <v>619</v>
      </c>
      <c r="E125" s="42" t="s">
        <v>620</v>
      </c>
      <c r="F125" s="43" t="s">
        <v>621</v>
      </c>
      <c r="G125" s="43" t="s">
        <v>622</v>
      </c>
      <c r="H125" s="43" t="s">
        <v>623</v>
      </c>
      <c r="I125" s="33"/>
      <c r="J125" s="33"/>
      <c r="K125" s="42">
        <v>24</v>
      </c>
      <c r="L125" s="42" t="str">
        <f>Překlady!C74</f>
        <v>studená +-6500K</v>
      </c>
      <c r="M125" s="42">
        <v>12</v>
      </c>
      <c r="N125" s="42" t="s">
        <v>173</v>
      </c>
      <c r="O125" s="42" t="str">
        <f>Překlady!C78</f>
        <v>vysoká (do 2000 lm/m)</v>
      </c>
      <c r="P125" s="44" t="s">
        <v>529</v>
      </c>
      <c r="Q125">
        <f t="shared" si="7"/>
        <v>0.5</v>
      </c>
    </row>
    <row r="126" spans="1:17" x14ac:dyDescent="0.25">
      <c r="A126" s="37" t="str">
        <f t="shared" si="6"/>
        <v>24V_Standard_neutrální+- 4000K_velmi vysoká (nad 2000 lm/m)</v>
      </c>
      <c r="B126" t="str">
        <f t="shared" si="5"/>
        <v>StrongLumio LED pásek vysoká svítivost 24V 12W/m (160 LED/m) 8mm, bílá neutrální</v>
      </c>
      <c r="C126" s="65" t="s">
        <v>5117</v>
      </c>
      <c r="D126" s="39" t="s">
        <v>624</v>
      </c>
      <c r="E126" s="39" t="s">
        <v>625</v>
      </c>
      <c r="F126" s="40" t="s">
        <v>626</v>
      </c>
      <c r="G126" s="40" t="s">
        <v>6802</v>
      </c>
      <c r="H126" s="40" t="s">
        <v>628</v>
      </c>
      <c r="I126" s="36"/>
      <c r="J126" s="36"/>
      <c r="K126" s="39">
        <v>24</v>
      </c>
      <c r="L126" s="39" t="str">
        <f>Překlady!C73</f>
        <v>neutrální+- 4000K</v>
      </c>
      <c r="M126" s="39">
        <v>12</v>
      </c>
      <c r="N126" s="39" t="s">
        <v>172</v>
      </c>
      <c r="O126" s="39" t="str">
        <f>Překlady!C79</f>
        <v>velmi vysoká (nad 2000 lm/m)</v>
      </c>
      <c r="P126" s="41" t="s">
        <v>529</v>
      </c>
      <c r="Q126">
        <f t="shared" si="7"/>
        <v>0.5</v>
      </c>
    </row>
    <row r="127" spans="1:17" x14ac:dyDescent="0.25">
      <c r="A127" s="37" t="str">
        <f t="shared" si="6"/>
        <v>24V_Standard_neutrální+- 4000K_velmi vysoká (nad 2000 lm/m)</v>
      </c>
      <c r="B127" t="str">
        <f t="shared" si="5"/>
        <v>StrongLumio LED pásek vysoká svítivost 24V 20W/m(240 LED/m) 10mm, bílá neutrální</v>
      </c>
      <c r="C127" s="66" t="s">
        <v>5120</v>
      </c>
      <c r="D127" s="42" t="s">
        <v>629</v>
      </c>
      <c r="E127" s="42" t="s">
        <v>630</v>
      </c>
      <c r="F127" s="43" t="s">
        <v>631</v>
      </c>
      <c r="G127" s="43"/>
      <c r="H127" s="43" t="s">
        <v>632</v>
      </c>
      <c r="I127" s="33"/>
      <c r="J127" s="33"/>
      <c r="K127" s="42">
        <v>24</v>
      </c>
      <c r="L127" s="42" t="str">
        <f>Překlady!C73</f>
        <v>neutrální+- 4000K</v>
      </c>
      <c r="M127" s="42">
        <v>20</v>
      </c>
      <c r="N127" s="42" t="s">
        <v>172</v>
      </c>
      <c r="O127" s="42" t="str">
        <f>Překlady!C79</f>
        <v>velmi vysoká (nad 2000 lm/m)</v>
      </c>
      <c r="P127" s="44" t="s">
        <v>571</v>
      </c>
      <c r="Q127">
        <f t="shared" si="7"/>
        <v>0.83333333333333337</v>
      </c>
    </row>
    <row r="128" spans="1:17" x14ac:dyDescent="0.25">
      <c r="A128" s="37" t="str">
        <f t="shared" si="6"/>
        <v>24V_neon_teplá +-3000K_nízká (do 500 lm/m)</v>
      </c>
      <c r="B128" t="str">
        <f t="shared" si="5"/>
        <v>StrongLumio LED pásek neon 4x10 mm 24V 9,6W (168 LED/m) IP67 bílá teplá</v>
      </c>
      <c r="C128" s="65" t="s">
        <v>5113</v>
      </c>
      <c r="D128" s="39" t="s">
        <v>633</v>
      </c>
      <c r="E128" s="39" t="s">
        <v>634</v>
      </c>
      <c r="F128" s="36" t="s">
        <v>635</v>
      </c>
      <c r="G128" s="40" t="s">
        <v>636</v>
      </c>
      <c r="H128" s="40" t="s">
        <v>637</v>
      </c>
      <c r="I128" s="36"/>
      <c r="J128" s="36"/>
      <c r="K128" s="39">
        <v>24</v>
      </c>
      <c r="L128" s="39" t="str">
        <f>Překlady!C72</f>
        <v>teplá +-3000K</v>
      </c>
      <c r="M128" s="39">
        <v>9.6</v>
      </c>
      <c r="N128" s="39" t="s">
        <v>638</v>
      </c>
      <c r="O128" s="39" t="str">
        <f>Překlady!C76</f>
        <v>nízká (do 500 lm/m)</v>
      </c>
      <c r="P128" s="41" t="s">
        <v>639</v>
      </c>
      <c r="Q128">
        <f t="shared" si="7"/>
        <v>0.39999999999999997</v>
      </c>
    </row>
    <row r="129" spans="1:17" x14ac:dyDescent="0.25">
      <c r="A129" s="37" t="str">
        <f t="shared" si="6"/>
        <v>24V_neon_teplá +-3000K_nízká (do 500 lm/m)</v>
      </c>
      <c r="B129" t="str">
        <f t="shared" si="5"/>
        <v>StrongLumio LED pásek neon "T" 4x10 mm 24V 9,6W (168 LED/m) IP67 bílá teplá</v>
      </c>
      <c r="C129" s="67" t="s">
        <v>5111</v>
      </c>
      <c r="D129" s="30" t="s">
        <v>640</v>
      </c>
      <c r="E129" s="30" t="s">
        <v>641</v>
      </c>
      <c r="F129" t="s">
        <v>642</v>
      </c>
      <c r="G129" s="34" t="s">
        <v>643</v>
      </c>
      <c r="H129" s="34" t="s">
        <v>644</v>
      </c>
      <c r="K129" s="30">
        <v>24</v>
      </c>
      <c r="L129" s="30" t="str">
        <f>Překlady!C72</f>
        <v>teplá +-3000K</v>
      </c>
      <c r="M129" s="30">
        <v>9.6</v>
      </c>
      <c r="N129" s="30" t="s">
        <v>638</v>
      </c>
      <c r="O129" s="30" t="str">
        <f>Překlady!C76</f>
        <v>nízká (do 500 lm/m)</v>
      </c>
      <c r="P129" s="45" t="s">
        <v>639</v>
      </c>
      <c r="Q129">
        <f t="shared" si="7"/>
        <v>0.39999999999999997</v>
      </c>
    </row>
    <row r="130" spans="1:17" x14ac:dyDescent="0.25">
      <c r="A130" s="37" t="str">
        <f t="shared" si="6"/>
        <v>24V_neon_teplá +-3000K_nízká (do 500 lm/m)</v>
      </c>
      <c r="B130" t="str">
        <f t="shared" si="5"/>
        <v>StrongLumio LED pásek neon 6x12 mm 24V 9,6W (168 LED/m) IP67 bílá teplá</v>
      </c>
      <c r="C130" s="66" t="s">
        <v>5116</v>
      </c>
      <c r="D130" s="42" t="s">
        <v>645</v>
      </c>
      <c r="E130" s="42" t="s">
        <v>646</v>
      </c>
      <c r="F130" s="43" t="s">
        <v>647</v>
      </c>
      <c r="G130" s="43" t="s">
        <v>648</v>
      </c>
      <c r="H130" s="43" t="s">
        <v>649</v>
      </c>
      <c r="I130" s="33"/>
      <c r="J130" s="33"/>
      <c r="K130" s="42">
        <v>24</v>
      </c>
      <c r="L130" s="42" t="str">
        <f>Překlady!C72</f>
        <v>teplá +-3000K</v>
      </c>
      <c r="M130" s="42">
        <v>9.6</v>
      </c>
      <c r="N130" s="42" t="s">
        <v>638</v>
      </c>
      <c r="O130" s="42" t="str">
        <f>Překlady!C76</f>
        <v>nízká (do 500 lm/m)</v>
      </c>
      <c r="P130" s="44" t="s">
        <v>639</v>
      </c>
      <c r="Q130">
        <f t="shared" si="7"/>
        <v>0.39999999999999997</v>
      </c>
    </row>
    <row r="131" spans="1:17" x14ac:dyDescent="0.25">
      <c r="A131" s="37" t="str">
        <f t="shared" si="6"/>
        <v>12V_standard_studená +-6500K_nízká (do 500 lm/m)</v>
      </c>
      <c r="B131" t="str">
        <f t="shared" si="5"/>
        <v>StrongLumio LED pásek 12V 4,8W/m (60 LED/m) 8mm, bílá studená</v>
      </c>
      <c r="C131" s="67" t="s">
        <v>5045</v>
      </c>
      <c r="D131" s="30" t="s">
        <v>650</v>
      </c>
      <c r="E131" s="30" t="s">
        <v>651</v>
      </c>
      <c r="F131" s="34" t="s">
        <v>652</v>
      </c>
      <c r="G131" s="34" t="s">
        <v>653</v>
      </c>
      <c r="H131" s="34" t="s">
        <v>654</v>
      </c>
      <c r="K131" s="30">
        <v>12</v>
      </c>
      <c r="L131" s="30" t="str">
        <f>Překlady!C74</f>
        <v>studená +-6500K</v>
      </c>
      <c r="M131" s="30">
        <v>4.8</v>
      </c>
      <c r="N131" s="30" t="s">
        <v>175</v>
      </c>
      <c r="O131" s="30" t="str">
        <f>Překlady!C76</f>
        <v>nízká (do 500 lm/m)</v>
      </c>
      <c r="P131" s="30" t="s">
        <v>529</v>
      </c>
      <c r="Q131">
        <f t="shared" si="7"/>
        <v>0.39999999999999997</v>
      </c>
    </row>
    <row r="132" spans="1:17" x14ac:dyDescent="0.25">
      <c r="A132" s="37" t="str">
        <f t="shared" si="6"/>
        <v>12V_standard_teplá +-3000K_nízká (do 500 lm/m)</v>
      </c>
      <c r="B132" t="str">
        <f t="shared" si="5"/>
        <v>StrongLumio LED pásek 12V 4,8W/m (60 LED/m) 8mm, bílá teplá</v>
      </c>
      <c r="C132" s="67" t="s">
        <v>5046</v>
      </c>
      <c r="D132" s="30" t="s">
        <v>655</v>
      </c>
      <c r="E132" s="30" t="s">
        <v>656</v>
      </c>
      <c r="F132" s="34" t="s">
        <v>657</v>
      </c>
      <c r="G132" s="34" t="s">
        <v>658</v>
      </c>
      <c r="H132" s="34" t="s">
        <v>659</v>
      </c>
      <c r="K132" s="30">
        <v>12</v>
      </c>
      <c r="L132" s="30" t="str">
        <f>Překlady!C72</f>
        <v>teplá +-3000K</v>
      </c>
      <c r="M132" s="30">
        <v>4.8</v>
      </c>
      <c r="N132" s="30" t="s">
        <v>175</v>
      </c>
      <c r="O132" s="30" t="str">
        <f>Překlady!C76</f>
        <v>nízká (do 500 lm/m)</v>
      </c>
      <c r="P132" s="30" t="s">
        <v>529</v>
      </c>
      <c r="Q132">
        <f t="shared" si="7"/>
        <v>0.39999999999999997</v>
      </c>
    </row>
    <row r="133" spans="1:17" x14ac:dyDescent="0.25">
      <c r="A133" s="37" t="str">
        <f t="shared" si="6"/>
        <v>12V_standard_studená +-6500K_střední (do 1000 lm/m)</v>
      </c>
      <c r="B133" t="str">
        <f t="shared" si="5"/>
        <v>StrongLumio LED pásek 12V 9,6W/m (120 LED/m) 8mm, bílá studená</v>
      </c>
      <c r="C133" s="67" t="s">
        <v>5048</v>
      </c>
      <c r="D133" s="30" t="s">
        <v>660</v>
      </c>
      <c r="E133" s="30" t="s">
        <v>661</v>
      </c>
      <c r="F133" s="34" t="s">
        <v>662</v>
      </c>
      <c r="G133" s="34" t="s">
        <v>663</v>
      </c>
      <c r="H133" s="34" t="s">
        <v>664</v>
      </c>
      <c r="K133" s="30">
        <v>12</v>
      </c>
      <c r="L133" s="30" t="str">
        <f>Překlady!C74</f>
        <v>studená +-6500K</v>
      </c>
      <c r="M133" s="30">
        <v>9.6</v>
      </c>
      <c r="N133" s="30" t="s">
        <v>175</v>
      </c>
      <c r="O133" s="30" t="str">
        <f>Překlady!C77</f>
        <v>střední (do 1000 lm/m)</v>
      </c>
      <c r="P133" s="30" t="s">
        <v>529</v>
      </c>
      <c r="Q133">
        <f t="shared" si="7"/>
        <v>0.79999999999999993</v>
      </c>
    </row>
    <row r="134" spans="1:17" x14ac:dyDescent="0.25">
      <c r="A134" s="37" t="str">
        <f t="shared" si="6"/>
        <v>12V_standard_studená +-6500K_vysoká (do 2000 lm/m)</v>
      </c>
      <c r="B134" t="str">
        <f t="shared" si="5"/>
        <v>StrongLumio LED pásek 12V 12W/m (60 LED/m) 8mm, bílá studená</v>
      </c>
      <c r="C134" s="67" t="s">
        <v>5036</v>
      </c>
      <c r="D134" s="30" t="s">
        <v>665</v>
      </c>
      <c r="E134" s="30" t="s">
        <v>666</v>
      </c>
      <c r="F134" s="34" t="s">
        <v>667</v>
      </c>
      <c r="G134" s="34" t="s">
        <v>668</v>
      </c>
      <c r="H134" s="34" t="s">
        <v>669</v>
      </c>
      <c r="K134" s="30">
        <v>12</v>
      </c>
      <c r="L134" s="30" t="str">
        <f>Překlady!C74</f>
        <v>studená +-6500K</v>
      </c>
      <c r="M134" s="30">
        <v>12</v>
      </c>
      <c r="N134" s="30" t="s">
        <v>175</v>
      </c>
      <c r="O134" s="30" t="str">
        <f>Překlady!C78</f>
        <v>vysoká (do 2000 lm/m)</v>
      </c>
      <c r="P134" s="30" t="s">
        <v>529</v>
      </c>
      <c r="Q134">
        <f t="shared" si="7"/>
        <v>1</v>
      </c>
    </row>
    <row r="135" spans="1:17" x14ac:dyDescent="0.25">
      <c r="A135" s="37" t="str">
        <f t="shared" si="6"/>
        <v>12V_standard_teplá +-3000K_střední (do 1000 lm/m)</v>
      </c>
      <c r="B135" t="str">
        <f t="shared" si="5"/>
        <v>StrongLumio LED pásek 12V 9,6W/m (120 LED/m) 8mm, bílá teplá</v>
      </c>
      <c r="C135" s="67" t="s">
        <v>5049</v>
      </c>
      <c r="D135" s="30" t="s">
        <v>670</v>
      </c>
      <c r="E135" s="30" t="s">
        <v>671</v>
      </c>
      <c r="F135" s="34" t="s">
        <v>672</v>
      </c>
      <c r="G135" s="34" t="s">
        <v>673</v>
      </c>
      <c r="H135" s="34" t="s">
        <v>674</v>
      </c>
      <c r="K135" s="30">
        <v>12</v>
      </c>
      <c r="L135" s="30" t="str">
        <f>Překlady!C72</f>
        <v>teplá +-3000K</v>
      </c>
      <c r="M135" s="30">
        <v>9.6</v>
      </c>
      <c r="N135" s="30" t="s">
        <v>175</v>
      </c>
      <c r="O135" s="30" t="str">
        <f>Překlady!C77</f>
        <v>střední (do 1000 lm/m)</v>
      </c>
      <c r="P135" s="30" t="s">
        <v>529</v>
      </c>
      <c r="Q135">
        <f t="shared" si="7"/>
        <v>0.79999999999999993</v>
      </c>
    </row>
    <row r="136" spans="1:17" x14ac:dyDescent="0.25">
      <c r="A136" s="37" t="str">
        <f t="shared" si="6"/>
        <v>12V_standard_teplá +-3000K_vysoká (do 2000 lm/m)</v>
      </c>
      <c r="B136" t="str">
        <f t="shared" si="5"/>
        <v>StrongLumio LED pásek 12V 12W/m (60 LED/m) 8mm, bílá teplá</v>
      </c>
      <c r="C136" s="67" t="s">
        <v>5037</v>
      </c>
      <c r="D136" s="30" t="s">
        <v>675</v>
      </c>
      <c r="E136" s="30" t="s">
        <v>676</v>
      </c>
      <c r="F136" s="34" t="s">
        <v>677</v>
      </c>
      <c r="G136" s="34" t="s">
        <v>678</v>
      </c>
      <c r="H136" s="34" t="s">
        <v>679</v>
      </c>
      <c r="K136" s="30">
        <v>12</v>
      </c>
      <c r="L136" s="30" t="str">
        <f>Překlady!C72</f>
        <v>teplá +-3000K</v>
      </c>
      <c r="M136" s="30">
        <v>12</v>
      </c>
      <c r="N136" s="30" t="s">
        <v>175</v>
      </c>
      <c r="O136" s="30" t="str">
        <f>Překlady!C78</f>
        <v>vysoká (do 2000 lm/m)</v>
      </c>
      <c r="P136" s="30" t="s">
        <v>529</v>
      </c>
      <c r="Q136">
        <f t="shared" si="7"/>
        <v>1</v>
      </c>
    </row>
    <row r="137" spans="1:17" x14ac:dyDescent="0.25">
      <c r="A137" s="37" t="str">
        <f t="shared" si="6"/>
        <v>12V_standard_neutrální+- 4000K_nízká (do 500 lm/m)</v>
      </c>
      <c r="B137" t="str">
        <f t="shared" si="5"/>
        <v>StrongLumio LED pásek 12V 4,8W/m (60 LED/m) 8mm, bílá neutrální</v>
      </c>
      <c r="C137" s="67" t="s">
        <v>5044</v>
      </c>
      <c r="D137" s="30" t="s">
        <v>188</v>
      </c>
      <c r="E137" s="30" t="s">
        <v>680</v>
      </c>
      <c r="F137" s="34" t="s">
        <v>681</v>
      </c>
      <c r="G137" s="34" t="s">
        <v>682</v>
      </c>
      <c r="H137" s="34" t="s">
        <v>683</v>
      </c>
      <c r="K137" s="30">
        <v>12</v>
      </c>
      <c r="L137" s="30" t="str">
        <f>Překlady!C73</f>
        <v>neutrální+- 4000K</v>
      </c>
      <c r="M137" s="30">
        <v>4.8</v>
      </c>
      <c r="N137" s="30" t="s">
        <v>175</v>
      </c>
      <c r="O137" s="30" t="str">
        <f>Překlady!C76</f>
        <v>nízká (do 500 lm/m)</v>
      </c>
      <c r="P137" s="30" t="s">
        <v>529</v>
      </c>
      <c r="Q137">
        <f t="shared" si="7"/>
        <v>0.39999999999999997</v>
      </c>
    </row>
    <row r="138" spans="1:17" x14ac:dyDescent="0.25">
      <c r="A138" s="37" t="str">
        <f t="shared" si="6"/>
        <v>12V_standard_neutrální+- 4000K_střední (do 1000 lm/m)</v>
      </c>
      <c r="B138" t="str">
        <f t="shared" si="5"/>
        <v>StrongLumio LED pásek 12V 9,6W/m (120 LED/m) 8mm, bílá neutrální</v>
      </c>
      <c r="C138" s="67" t="s">
        <v>5047</v>
      </c>
      <c r="D138" s="30" t="s">
        <v>684</v>
      </c>
      <c r="E138" s="30" t="s">
        <v>685</v>
      </c>
      <c r="F138" s="34" t="s">
        <v>686</v>
      </c>
      <c r="G138" s="34" t="s">
        <v>687</v>
      </c>
      <c r="H138" s="34" t="s">
        <v>688</v>
      </c>
      <c r="K138" s="30">
        <v>12</v>
      </c>
      <c r="L138" s="30" t="str">
        <f>Překlady!C73</f>
        <v>neutrální+- 4000K</v>
      </c>
      <c r="M138" s="30">
        <v>9.6</v>
      </c>
      <c r="N138" s="30" t="s">
        <v>175</v>
      </c>
      <c r="O138" s="30" t="str">
        <f>Překlady!C77</f>
        <v>střední (do 1000 lm/m)</v>
      </c>
      <c r="P138" s="30" t="s">
        <v>529</v>
      </c>
      <c r="Q138">
        <f t="shared" si="7"/>
        <v>0.79999999999999993</v>
      </c>
    </row>
    <row r="139" spans="1:17" x14ac:dyDescent="0.25">
      <c r="A139" s="37" t="str">
        <f t="shared" si="6"/>
        <v>12V_standard_neutrální+- 4000K_vysoká (do 2000 lm/m)</v>
      </c>
      <c r="B139" t="str">
        <f t="shared" si="5"/>
        <v>StrongLumio LED pásek 12V 12W/m (60 LED/m) 8mm, bílá neutrální</v>
      </c>
      <c r="C139" s="67" t="s">
        <v>5035</v>
      </c>
      <c r="D139" s="30" t="s">
        <v>689</v>
      </c>
      <c r="E139" s="30" t="s">
        <v>690</v>
      </c>
      <c r="F139" s="34" t="s">
        <v>691</v>
      </c>
      <c r="G139" s="34" t="s">
        <v>692</v>
      </c>
      <c r="H139" s="34" t="s">
        <v>693</v>
      </c>
      <c r="K139" s="30">
        <v>12</v>
      </c>
      <c r="L139" s="30" t="str">
        <f>Překlady!C73</f>
        <v>neutrální+- 4000K</v>
      </c>
      <c r="M139" s="30">
        <v>12</v>
      </c>
      <c r="N139" s="30" t="s">
        <v>175</v>
      </c>
      <c r="O139" s="30" t="str">
        <f>Překlady!C78</f>
        <v>vysoká (do 2000 lm/m)</v>
      </c>
      <c r="P139" s="30" t="s">
        <v>529</v>
      </c>
      <c r="Q139">
        <f t="shared" si="7"/>
        <v>1</v>
      </c>
    </row>
    <row r="140" spans="1:17" x14ac:dyDescent="0.25">
      <c r="A140" s="37" t="str">
        <f t="shared" si="6"/>
        <v>24V_standard_teplá +-3000K_střední (do 1000 lm/m)</v>
      </c>
      <c r="B140" t="str">
        <f t="shared" si="5"/>
        <v>StrongLumio LED pásek 24V 6W/m (60 LED/m) 8mm, bílá teplá</v>
      </c>
      <c r="C140" s="67" t="s">
        <v>5080</v>
      </c>
      <c r="D140" s="30" t="s">
        <v>694</v>
      </c>
      <c r="E140" s="30" t="s">
        <v>695</v>
      </c>
      <c r="F140" s="34" t="s">
        <v>696</v>
      </c>
      <c r="G140" s="34" t="s">
        <v>697</v>
      </c>
      <c r="H140" s="34" t="s">
        <v>698</v>
      </c>
      <c r="K140" s="30">
        <v>24</v>
      </c>
      <c r="L140" s="30" t="str">
        <f>Překlady!C72</f>
        <v>teplá +-3000K</v>
      </c>
      <c r="M140" s="30">
        <v>6</v>
      </c>
      <c r="N140" s="30" t="s">
        <v>175</v>
      </c>
      <c r="O140" s="30" t="str">
        <f>Překlady!C77</f>
        <v>střední (do 1000 lm/m)</v>
      </c>
      <c r="P140" s="30" t="s">
        <v>529</v>
      </c>
      <c r="Q140">
        <f t="shared" si="7"/>
        <v>0.25</v>
      </c>
    </row>
    <row r="141" spans="1:17" x14ac:dyDescent="0.25">
      <c r="A141" s="37" t="str">
        <f t="shared" si="6"/>
        <v>24V_standard_neutrální+- 4000K_střední (do 1000 lm/m)</v>
      </c>
      <c r="B141" t="str">
        <f t="shared" si="5"/>
        <v>StrongLumio LED pásek 24V 6W/m (60 LED/m) 8mm, bílá neutrální</v>
      </c>
      <c r="C141" s="67" t="s">
        <v>5078</v>
      </c>
      <c r="D141" s="30" t="s">
        <v>699</v>
      </c>
      <c r="E141" s="30" t="s">
        <v>700</v>
      </c>
      <c r="F141" s="34" t="s">
        <v>701</v>
      </c>
      <c r="G141" s="34" t="s">
        <v>702</v>
      </c>
      <c r="H141" s="34" t="s">
        <v>703</v>
      </c>
      <c r="K141" s="30">
        <v>24</v>
      </c>
      <c r="L141" s="30" t="str">
        <f>Překlady!C73</f>
        <v>neutrální+- 4000K</v>
      </c>
      <c r="M141" s="30">
        <v>6</v>
      </c>
      <c r="N141" s="30" t="s">
        <v>175</v>
      </c>
      <c r="O141" s="30" t="str">
        <f>Překlady!C77</f>
        <v>střední (do 1000 lm/m)</v>
      </c>
      <c r="P141" s="30" t="s">
        <v>529</v>
      </c>
      <c r="Q141">
        <f t="shared" si="7"/>
        <v>0.25</v>
      </c>
    </row>
    <row r="142" spans="1:17" x14ac:dyDescent="0.25">
      <c r="A142" s="37" t="str">
        <f t="shared" si="6"/>
        <v>24V_standard_studená +-6500K_střední (do 1000 lm/m)</v>
      </c>
      <c r="B142" t="str">
        <f t="shared" si="5"/>
        <v>StrongLumio LED pásek 24V 6W/m (60 LED/m) 8mm, bílá studená</v>
      </c>
      <c r="C142" s="67" t="s">
        <v>5079</v>
      </c>
      <c r="D142" s="30" t="s">
        <v>704</v>
      </c>
      <c r="E142" s="30" t="s">
        <v>705</v>
      </c>
      <c r="F142" s="34" t="s">
        <v>706</v>
      </c>
      <c r="G142" s="34" t="s">
        <v>707</v>
      </c>
      <c r="H142" s="34" t="s">
        <v>708</v>
      </c>
      <c r="K142" s="30">
        <v>24</v>
      </c>
      <c r="L142" s="30" t="str">
        <f>Překlady!C74</f>
        <v>studená +-6500K</v>
      </c>
      <c r="M142" s="30">
        <v>6</v>
      </c>
      <c r="N142" s="30" t="s">
        <v>175</v>
      </c>
      <c r="O142" s="30" t="str">
        <f>Překlady!C77</f>
        <v>střední (do 1000 lm/m)</v>
      </c>
      <c r="P142" s="30" t="s">
        <v>529</v>
      </c>
      <c r="Q142">
        <f t="shared" si="7"/>
        <v>0.25</v>
      </c>
    </row>
    <row r="143" spans="1:17" x14ac:dyDescent="0.25">
      <c r="A143" s="37" t="str">
        <f t="shared" si="6"/>
        <v>24V_standard_teplá +-3000K_vysoká (do 2000 lm/m)</v>
      </c>
      <c r="B143" t="str">
        <f t="shared" si="5"/>
        <v>StrongLumio LED pásek 24V 12W/m (120 LED/m) 8mm, bílá teplá</v>
      </c>
      <c r="C143" s="67" t="s">
        <v>5055</v>
      </c>
      <c r="D143" s="30" t="s">
        <v>709</v>
      </c>
      <c r="E143" s="30" t="s">
        <v>710</v>
      </c>
      <c r="F143" s="34" t="s">
        <v>711</v>
      </c>
      <c r="G143" s="34" t="s">
        <v>712</v>
      </c>
      <c r="H143" s="34" t="s">
        <v>713</v>
      </c>
      <c r="K143" s="30">
        <v>24</v>
      </c>
      <c r="L143" s="30" t="str">
        <f>Překlady!C72</f>
        <v>teplá +-3000K</v>
      </c>
      <c r="M143" s="30">
        <v>12</v>
      </c>
      <c r="N143" s="30" t="s">
        <v>175</v>
      </c>
      <c r="O143" s="30" t="str">
        <f>Překlady!C78</f>
        <v>vysoká (do 2000 lm/m)</v>
      </c>
      <c r="P143" s="30" t="s">
        <v>529</v>
      </c>
      <c r="Q143">
        <f t="shared" si="7"/>
        <v>0.5</v>
      </c>
    </row>
    <row r="144" spans="1:17" x14ac:dyDescent="0.25">
      <c r="A144" s="37" t="str">
        <f t="shared" si="6"/>
        <v>24V_standard_neutrální+- 4000K_vysoká (do 2000 lm/m)</v>
      </c>
      <c r="B144" t="str">
        <f t="shared" si="5"/>
        <v>StrongLumio LED pásek 24V 12W/m (120 LED/m) 8mm, bílá neutrální</v>
      </c>
      <c r="C144" s="67" t="s">
        <v>5053</v>
      </c>
      <c r="D144" s="30" t="s">
        <v>714</v>
      </c>
      <c r="E144" s="30" t="s">
        <v>715</v>
      </c>
      <c r="F144" s="34" t="s">
        <v>716</v>
      </c>
      <c r="G144" s="34" t="s">
        <v>717</v>
      </c>
      <c r="H144" s="34" t="s">
        <v>718</v>
      </c>
      <c r="K144" s="30">
        <v>24</v>
      </c>
      <c r="L144" s="30" t="str">
        <f>Překlady!C73</f>
        <v>neutrální+- 4000K</v>
      </c>
      <c r="M144" s="30">
        <v>12</v>
      </c>
      <c r="N144" s="30" t="s">
        <v>175</v>
      </c>
      <c r="O144" s="30" t="str">
        <f>Překlady!C78</f>
        <v>vysoká (do 2000 lm/m)</v>
      </c>
      <c r="P144" s="30" t="s">
        <v>529</v>
      </c>
      <c r="Q144">
        <f t="shared" si="7"/>
        <v>0.5</v>
      </c>
    </row>
    <row r="145" spans="1:17" x14ac:dyDescent="0.25">
      <c r="A145" s="37" t="str">
        <f t="shared" si="6"/>
        <v>24V_standard_studená +-6500K_vysoká (do 2000 lm/m)</v>
      </c>
      <c r="B145" t="str">
        <f t="shared" si="5"/>
        <v>StrongLumio LED pásek 24V 12W/m (120 LED/m) 8mm, bílá studená</v>
      </c>
      <c r="C145" s="67" t="s">
        <v>5054</v>
      </c>
      <c r="D145" s="30" t="s">
        <v>719</v>
      </c>
      <c r="E145" s="30" t="s">
        <v>720</v>
      </c>
      <c r="F145" s="34" t="s">
        <v>721</v>
      </c>
      <c r="G145" s="34" t="s">
        <v>722</v>
      </c>
      <c r="H145" s="34" t="s">
        <v>723</v>
      </c>
      <c r="K145" s="30">
        <v>24</v>
      </c>
      <c r="L145" s="30" t="str">
        <f>Překlady!C74</f>
        <v>studená +-6500K</v>
      </c>
      <c r="M145" s="30">
        <v>12</v>
      </c>
      <c r="N145" s="30" t="s">
        <v>175</v>
      </c>
      <c r="O145" s="30" t="str">
        <f>Překlady!C78</f>
        <v>vysoká (do 2000 lm/m)</v>
      </c>
      <c r="P145" s="30" t="s">
        <v>529</v>
      </c>
      <c r="Q145">
        <f t="shared" si="7"/>
        <v>0.5</v>
      </c>
    </row>
    <row r="146" spans="1:17" x14ac:dyDescent="0.25">
      <c r="A146" s="37" t="str">
        <f t="shared" si="6"/>
        <v>24V_COB_teplá +-3000K_nízká (do 500 lm/m)</v>
      </c>
      <c r="B146" t="str">
        <f t="shared" si="5"/>
        <v>StrongLumio LED pásek COB 24V 5W/m (320 LED/m) 8mm, bílá teplá</v>
      </c>
      <c r="C146" s="67" t="s">
        <v>5100</v>
      </c>
      <c r="D146" s="30" t="s">
        <v>724</v>
      </c>
      <c r="E146" s="30" t="s">
        <v>725</v>
      </c>
      <c r="F146" s="34" t="s">
        <v>726</v>
      </c>
      <c r="G146" s="34" t="s">
        <v>727</v>
      </c>
      <c r="H146" s="34" t="s">
        <v>728</v>
      </c>
      <c r="K146" s="30">
        <v>24</v>
      </c>
      <c r="L146" s="30" t="str">
        <f>Překlady!C72</f>
        <v>teplá +-3000K</v>
      </c>
      <c r="M146" s="30">
        <v>5</v>
      </c>
      <c r="N146" s="30" t="s">
        <v>173</v>
      </c>
      <c r="O146" s="30" t="str">
        <f>Překlady!C76</f>
        <v>nízká (do 500 lm/m)</v>
      </c>
      <c r="P146" s="30" t="s">
        <v>529</v>
      </c>
      <c r="Q146">
        <f t="shared" si="7"/>
        <v>0.20833333333333334</v>
      </c>
    </row>
    <row r="147" spans="1:17" x14ac:dyDescent="0.25">
      <c r="A147" s="37" t="str">
        <f t="shared" si="6"/>
        <v>24V_COB_neutrální+- 4000K_nízká (do 500 lm/m)</v>
      </c>
      <c r="B147" t="str">
        <f t="shared" si="5"/>
        <v>StrongLumio LED pásek COB 24V 5W/m (320 LED/m) 8mm, bílá neutrální</v>
      </c>
      <c r="C147" s="67" t="s">
        <v>5098</v>
      </c>
      <c r="D147" s="30" t="s">
        <v>729</v>
      </c>
      <c r="E147" s="30" t="s">
        <v>730</v>
      </c>
      <c r="F147" s="34" t="s">
        <v>731</v>
      </c>
      <c r="G147" s="34" t="s">
        <v>732</v>
      </c>
      <c r="H147" s="34" t="s">
        <v>733</v>
      </c>
      <c r="K147" s="30">
        <v>24</v>
      </c>
      <c r="L147" s="30" t="str">
        <f>Překlady!C73</f>
        <v>neutrální+- 4000K</v>
      </c>
      <c r="M147" s="30">
        <v>5</v>
      </c>
      <c r="N147" s="30" t="s">
        <v>173</v>
      </c>
      <c r="O147" s="30" t="str">
        <f>Překlady!C76</f>
        <v>nízká (do 500 lm/m)</v>
      </c>
      <c r="P147" s="30" t="s">
        <v>529</v>
      </c>
      <c r="Q147">
        <f t="shared" si="7"/>
        <v>0.20833333333333334</v>
      </c>
    </row>
    <row r="148" spans="1:17" x14ac:dyDescent="0.25">
      <c r="A148" s="37" t="str">
        <f t="shared" si="6"/>
        <v>24V_COB_studená +-6500K_nízká (do 500 lm/m)</v>
      </c>
      <c r="B148" t="str">
        <f t="shared" si="5"/>
        <v>StrongLumio LED pásek COB 24V 5W/m (320 LED/m) 8mm, bílá studená</v>
      </c>
      <c r="C148" s="67" t="s">
        <v>5099</v>
      </c>
      <c r="D148" s="30" t="s">
        <v>734</v>
      </c>
      <c r="E148" s="30" t="s">
        <v>735</v>
      </c>
      <c r="F148" s="34" t="s">
        <v>736</v>
      </c>
      <c r="G148" s="34" t="s">
        <v>737</v>
      </c>
      <c r="H148" s="34" t="s">
        <v>738</v>
      </c>
      <c r="K148" s="30">
        <v>24</v>
      </c>
      <c r="L148" s="30" t="str">
        <f>Překlady!C74</f>
        <v>studená +-6500K</v>
      </c>
      <c r="M148" s="30">
        <v>5</v>
      </c>
      <c r="N148" s="30" t="s">
        <v>173</v>
      </c>
      <c r="O148" s="30" t="str">
        <f>Překlady!C76</f>
        <v>nízká (do 500 lm/m)</v>
      </c>
      <c r="P148" s="30" t="s">
        <v>529</v>
      </c>
      <c r="Q148">
        <f t="shared" si="7"/>
        <v>0.20833333333333334</v>
      </c>
    </row>
    <row r="149" spans="1:17" x14ac:dyDescent="0.25">
      <c r="A149" s="37" t="str">
        <f t="shared" si="6"/>
        <v>12V_COB_teplá +-3000K_nízká (do 500 lm/m)</v>
      </c>
      <c r="B149" t="str">
        <f t="shared" si="5"/>
        <v>StrongLumio LED pásek COB 12V 5W/m (320 LED/m) 8mm, bílá teplá</v>
      </c>
      <c r="C149" s="67" t="s">
        <v>5087</v>
      </c>
      <c r="D149" s="30" t="s">
        <v>739</v>
      </c>
      <c r="E149" s="30" t="s">
        <v>740</v>
      </c>
      <c r="F149" s="34" t="s">
        <v>741</v>
      </c>
      <c r="G149" s="34" t="s">
        <v>742</v>
      </c>
      <c r="H149" s="34" t="s">
        <v>743</v>
      </c>
      <c r="K149" s="30">
        <v>12</v>
      </c>
      <c r="L149" s="30" t="str">
        <f>Překlady!C72</f>
        <v>teplá +-3000K</v>
      </c>
      <c r="M149" s="30">
        <v>5</v>
      </c>
      <c r="N149" s="30" t="s">
        <v>173</v>
      </c>
      <c r="O149" s="30" t="str">
        <f>Překlady!C76</f>
        <v>nízká (do 500 lm/m)</v>
      </c>
      <c r="P149" s="30" t="s">
        <v>529</v>
      </c>
      <c r="Q149">
        <f t="shared" si="7"/>
        <v>0.41666666666666669</v>
      </c>
    </row>
    <row r="150" spans="1:17" x14ac:dyDescent="0.25">
      <c r="A150" s="37" t="str">
        <f t="shared" si="6"/>
        <v>12V_COB_neutrální+- 4000K_nízká (do 500 lm/m)</v>
      </c>
      <c r="B150" t="str">
        <f t="shared" si="5"/>
        <v>StrongLumio LED pásek COB 12V 5W/m (320 LED/m) 8mm, bílá neutrální</v>
      </c>
      <c r="C150" s="67" t="s">
        <v>5085</v>
      </c>
      <c r="D150" s="30" t="s">
        <v>744</v>
      </c>
      <c r="E150" s="30" t="s">
        <v>745</v>
      </c>
      <c r="F150" s="34" t="s">
        <v>746</v>
      </c>
      <c r="G150" s="34" t="s">
        <v>747</v>
      </c>
      <c r="H150" s="34" t="s">
        <v>748</v>
      </c>
      <c r="K150" s="30">
        <v>12</v>
      </c>
      <c r="L150" s="30" t="str">
        <f>Překlady!C73</f>
        <v>neutrální+- 4000K</v>
      </c>
      <c r="M150" s="30">
        <v>5</v>
      </c>
      <c r="N150" s="30" t="s">
        <v>173</v>
      </c>
      <c r="O150" s="30" t="str">
        <f>Překlady!C76</f>
        <v>nízká (do 500 lm/m)</v>
      </c>
      <c r="P150" s="30" t="s">
        <v>529</v>
      </c>
      <c r="Q150">
        <f t="shared" si="7"/>
        <v>0.41666666666666669</v>
      </c>
    </row>
    <row r="151" spans="1:17" x14ac:dyDescent="0.25">
      <c r="A151" s="37" t="str">
        <f t="shared" si="6"/>
        <v>12V_COB_studená +-6500K_nízká (do 500 lm/m)</v>
      </c>
      <c r="B151" t="str">
        <f t="shared" si="5"/>
        <v>StrongLumio LED pásek COB 12V 5W/m (320 LED/m) 8mm, bílá studená</v>
      </c>
      <c r="C151" s="67" t="s">
        <v>5086</v>
      </c>
      <c r="D151" s="30" t="s">
        <v>749</v>
      </c>
      <c r="E151" s="30" t="s">
        <v>750</v>
      </c>
      <c r="F151" s="34" t="s">
        <v>751</v>
      </c>
      <c r="G151" s="34" t="s">
        <v>752</v>
      </c>
      <c r="H151" s="34" t="s">
        <v>753</v>
      </c>
      <c r="K151" s="30">
        <v>12</v>
      </c>
      <c r="L151" s="30" t="str">
        <f>Překlady!C74</f>
        <v>studená +-6500K</v>
      </c>
      <c r="M151" s="30">
        <v>5</v>
      </c>
      <c r="N151" s="30" t="s">
        <v>173</v>
      </c>
      <c r="O151" s="30" t="str">
        <f>Překlady!C76</f>
        <v>nízká (do 500 lm/m)</v>
      </c>
      <c r="P151" s="30" t="s">
        <v>529</v>
      </c>
      <c r="Q151">
        <f t="shared" si="7"/>
        <v>0.41666666666666669</v>
      </c>
    </row>
    <row r="152" spans="1:17" x14ac:dyDescent="0.25">
      <c r="A152" s="37" t="str">
        <f t="shared" si="6"/>
        <v>24V_Standard_teplá +-3000K_velmi vysoká (nad 2000 lm/m)</v>
      </c>
      <c r="B152" t="str">
        <f t="shared" si="5"/>
        <v>StrongLumio LED pásek vysoká svítivost 24V 12W/m (160 LED/m) 8mm, bílá teplá</v>
      </c>
      <c r="C152" s="67" t="s">
        <v>5119</v>
      </c>
      <c r="D152" s="30" t="s">
        <v>754</v>
      </c>
      <c r="E152" s="30" t="s">
        <v>755</v>
      </c>
      <c r="F152" s="34" t="s">
        <v>756</v>
      </c>
      <c r="G152" s="34"/>
      <c r="H152" s="34" t="s">
        <v>757</v>
      </c>
      <c r="K152" s="30">
        <v>24</v>
      </c>
      <c r="L152" s="30" t="str">
        <f>Překlady!C72</f>
        <v>teplá +-3000K</v>
      </c>
      <c r="M152" s="30">
        <v>12</v>
      </c>
      <c r="N152" s="30" t="s">
        <v>172</v>
      </c>
      <c r="O152" s="30" t="str">
        <f>Překlady!C79</f>
        <v>velmi vysoká (nad 2000 lm/m)</v>
      </c>
      <c r="P152" s="30" t="s">
        <v>529</v>
      </c>
      <c r="Q152">
        <f t="shared" si="7"/>
        <v>0.5</v>
      </c>
    </row>
    <row r="153" spans="1:17" x14ac:dyDescent="0.25">
      <c r="A153" s="37" t="str">
        <f t="shared" si="6"/>
        <v>24V_Standard_studená +-6500K_velmi vysoká (nad 2000 lm/m)</v>
      </c>
      <c r="B153" t="str">
        <f t="shared" si="5"/>
        <v>StrongLumio LED pásek vysoká svítivost 24V 12W/m (160 LED/m) 8mm, bílá studená</v>
      </c>
      <c r="C153" s="67" t="s">
        <v>5118</v>
      </c>
      <c r="D153" s="30" t="s">
        <v>758</v>
      </c>
      <c r="E153" s="30" t="s">
        <v>759</v>
      </c>
      <c r="F153" s="34" t="s">
        <v>760</v>
      </c>
      <c r="G153" s="34"/>
      <c r="H153" s="34" t="s">
        <v>761</v>
      </c>
      <c r="K153" s="30">
        <v>24</v>
      </c>
      <c r="L153" s="30" t="str">
        <f>Překlady!C74</f>
        <v>studená +-6500K</v>
      </c>
      <c r="M153" s="30">
        <v>12</v>
      </c>
      <c r="N153" s="30" t="s">
        <v>172</v>
      </c>
      <c r="O153" s="30" t="str">
        <f>Překlady!C79</f>
        <v>velmi vysoká (nad 2000 lm/m)</v>
      </c>
      <c r="P153" s="30" t="s">
        <v>529</v>
      </c>
      <c r="Q153">
        <f t="shared" si="7"/>
        <v>0.5</v>
      </c>
    </row>
    <row r="154" spans="1:17" x14ac:dyDescent="0.25">
      <c r="A154" s="37" t="str">
        <f t="shared" si="6"/>
        <v>24V_neon_neutrální+- 4000K_nízká (do 500 lm/m)</v>
      </c>
      <c r="B154" t="str">
        <f t="shared" si="5"/>
        <v>StrongLumio LED pásek neon 6x12 mm 24V 9,6W (168 LED/m) IP67 bílá neutrální</v>
      </c>
      <c r="C154" s="67" t="s">
        <v>5115</v>
      </c>
      <c r="D154" s="30" t="s">
        <v>762</v>
      </c>
      <c r="E154" s="30" t="s">
        <v>763</v>
      </c>
      <c r="F154" s="34" t="s">
        <v>764</v>
      </c>
      <c r="G154" s="34" t="s">
        <v>765</v>
      </c>
      <c r="H154" s="34" t="s">
        <v>766</v>
      </c>
      <c r="K154" s="30">
        <v>24</v>
      </c>
      <c r="L154" s="30" t="str">
        <f>Překlady!C73</f>
        <v>neutrální+- 4000K</v>
      </c>
      <c r="M154" s="30">
        <v>9.6</v>
      </c>
      <c r="N154" s="30" t="s">
        <v>638</v>
      </c>
      <c r="O154" s="30" t="str">
        <f>Překlady!C76</f>
        <v>nízká (do 500 lm/m)</v>
      </c>
      <c r="P154" s="30" t="s">
        <v>639</v>
      </c>
      <c r="Q154">
        <f t="shared" si="7"/>
        <v>0.39999999999999997</v>
      </c>
    </row>
    <row r="156" spans="1:17" x14ac:dyDescent="0.25">
      <c r="C156" t="s">
        <v>108</v>
      </c>
      <c r="E156" t="s">
        <v>5784</v>
      </c>
      <c r="F156" t="s">
        <v>5785</v>
      </c>
    </row>
    <row r="157" spans="1:17" x14ac:dyDescent="0.25">
      <c r="B157" t="str">
        <f>D157</f>
        <v>StrongLumio dotykový senzor s pružinou do profilu, 12-24V 8A</v>
      </c>
      <c r="C157" s="4" t="s">
        <v>4880</v>
      </c>
      <c r="D157" t="str">
        <f>VLOOKUP(C157,'1066'!C:D,2,0)</f>
        <v>StrongLumio dotykový senzor s pružinou do profilu, 12-24V 8A</v>
      </c>
      <c r="E157">
        <v>96</v>
      </c>
      <c r="F157">
        <v>192</v>
      </c>
    </row>
    <row r="158" spans="1:17" x14ac:dyDescent="0.25">
      <c r="B158" t="str">
        <f t="shared" ref="B158:B175" si="8">D158</f>
        <v>StrongLumio flexibilní dotykový vypínač/stmívač do alu profilu</v>
      </c>
      <c r="C158" s="4" t="s">
        <v>4896</v>
      </c>
      <c r="D158" t="str">
        <f>VLOOKUP(C158,'1066'!C:E,2,0)</f>
        <v>StrongLumio flexibilní dotykový vypínač/stmívač do alu profilu</v>
      </c>
      <c r="E158">
        <v>42</v>
      </c>
      <c r="F158">
        <v>84</v>
      </c>
    </row>
    <row r="159" spans="1:17" x14ac:dyDescent="0.25">
      <c r="B159" t="str">
        <f t="shared" si="8"/>
        <v>StrongLumio LED mechanický vypínač 12/24V do profilů, 90W/180W</v>
      </c>
      <c r="C159" s="4" t="s">
        <v>5031</v>
      </c>
      <c r="D159" t="str">
        <f>VLOOKUP(C159,'1066'!C:E,2,0)</f>
        <v>StrongLumio LED mechanický vypínač 12/24V do profilů, 90W/180W</v>
      </c>
      <c r="E159">
        <v>90</v>
      </c>
      <c r="F159">
        <v>180</v>
      </c>
    </row>
    <row r="160" spans="1:17" x14ac:dyDescent="0.25">
      <c r="B160" t="str">
        <f t="shared" si="8"/>
        <v>StrongLumio bezdotykový senzor do profilu CCT, 12-24V 8A</v>
      </c>
      <c r="C160" s="4" t="s">
        <v>4850</v>
      </c>
      <c r="D160" t="str">
        <f>VLOOKUP(C160,'1066'!C:E,2,0)</f>
        <v>StrongLumio bezdotykový senzor do profilu CCT, 12-24V 8A</v>
      </c>
      <c r="E160">
        <v>96</v>
      </c>
      <c r="F160">
        <v>192</v>
      </c>
    </row>
    <row r="161" spans="2:6" x14ac:dyDescent="0.25">
      <c r="B161" t="str">
        <f t="shared" si="8"/>
        <v>StrongLumio LED vypínač/stmívač do profilu 12/24V, žlutá kontrolka</v>
      </c>
      <c r="C161" s="68" t="s">
        <v>5129</v>
      </c>
      <c r="D161" t="str">
        <f>VLOOKUP(C161,'1066'!C:E,2,0)</f>
        <v>StrongLumio LED vypínač/stmívač do profilu 12/24V, žlutá kontrolka</v>
      </c>
      <c r="E161">
        <v>90</v>
      </c>
      <c r="F161">
        <v>180</v>
      </c>
    </row>
    <row r="162" spans="2:6" x14ac:dyDescent="0.25">
      <c r="B162" t="str">
        <f t="shared" si="8"/>
        <v>StrongLumio LED vypínač/stmívač do profilu 12/24V, modrá kontrolka</v>
      </c>
      <c r="C162" s="68" t="s">
        <v>5128</v>
      </c>
      <c r="D162" t="str">
        <f>VLOOKUP(C162,'1066'!C:E,2,0)</f>
        <v>StrongLumio LED vypínač/stmívač do profilu 12/24V, modrá kontrolka</v>
      </c>
      <c r="E162">
        <v>90</v>
      </c>
      <c r="F162">
        <v>180</v>
      </c>
    </row>
    <row r="163" spans="2:6" x14ac:dyDescent="0.25">
      <c r="B163" t="str">
        <f t="shared" si="8"/>
        <v>StrongLumio LED vypínač/stmívač do profilu 12/24V, bez LED kontrolky</v>
      </c>
      <c r="C163" s="68" t="s">
        <v>5127</v>
      </c>
      <c r="D163" t="str">
        <f>VLOOKUP(C163,'1066'!C:E,2,0)</f>
        <v>StrongLumio LED vypínač/stmívač do profilu 12/24V, bez LED kontrolky</v>
      </c>
      <c r="E163">
        <v>90</v>
      </c>
      <c r="F163">
        <v>180</v>
      </c>
    </row>
    <row r="164" spans="2:6" x14ac:dyDescent="0.25">
      <c r="C164" s="68" t="s">
        <v>5821</v>
      </c>
    </row>
    <row r="165" spans="2:6" x14ac:dyDescent="0.25">
      <c r="C165" s="4" t="s">
        <v>109</v>
      </c>
    </row>
    <row r="166" spans="2:6" x14ac:dyDescent="0.25">
      <c r="B166" t="str">
        <f t="shared" si="8"/>
        <v>StrongLumio zafrézovací vypínač/stmívač 12-24V 4A konektory Mini, černá</v>
      </c>
      <c r="C166" s="4" t="s">
        <v>5445</v>
      </c>
      <c r="D166" t="str">
        <f>VLOOKUP(C166,'1066'!C:E,2,0)</f>
        <v>StrongLumio zafrézovací vypínač/stmívač 12-24V 4A konektory Mini, černá</v>
      </c>
      <c r="E166">
        <v>48</v>
      </c>
      <c r="F166">
        <v>96</v>
      </c>
    </row>
    <row r="167" spans="2:6" x14ac:dyDescent="0.25">
      <c r="B167" t="str">
        <f t="shared" si="8"/>
        <v>StrongLumio zafrézovací vypínač/stmívač 12-24V 4A konektory Mini, bílá</v>
      </c>
      <c r="C167" s="4" t="s">
        <v>5444</v>
      </c>
      <c r="D167" t="str">
        <f>VLOOKUP(C167,'1066'!C:E,2,0)</f>
        <v>StrongLumio zafrézovací vypínač/stmívač 12-24V 4A konektory Mini, bílá</v>
      </c>
      <c r="E167">
        <v>48</v>
      </c>
      <c r="F167">
        <v>96</v>
      </c>
    </row>
    <row r="168" spans="2:6" x14ac:dyDescent="0.25">
      <c r="B168" t="str">
        <f t="shared" si="8"/>
        <v>StrongLumio zafrézovací vypínač/stmívač 12-24V, 4A konektory Mini, stříbrná</v>
      </c>
      <c r="C168" s="4" t="s">
        <v>5446</v>
      </c>
      <c r="D168" t="str">
        <f>VLOOKUP(C168,'1066'!C:E,2,0)</f>
        <v>StrongLumio zafrézovací vypínač/stmívač 12-24V, 4A konektory Mini, stříbrná</v>
      </c>
      <c r="E168">
        <v>48</v>
      </c>
      <c r="F168">
        <v>96</v>
      </c>
    </row>
    <row r="169" spans="2:6" x14ac:dyDescent="0.25">
      <c r="B169" t="str">
        <f t="shared" si="8"/>
        <v>StrongLumio povrchový vypínač/stmívač 12-24V, 4A konektory Mini, černá</v>
      </c>
      <c r="C169" s="4" t="s">
        <v>5187</v>
      </c>
      <c r="D169" t="str">
        <f>VLOOKUP(C169,'1066'!C:E,2,0)</f>
        <v>StrongLumio povrchový vypínač/stmívač 12-24V, 4A konektory Mini, černá</v>
      </c>
      <c r="E169">
        <v>48</v>
      </c>
      <c r="F169">
        <v>96</v>
      </c>
    </row>
    <row r="170" spans="2:6" x14ac:dyDescent="0.25">
      <c r="B170" t="str">
        <f t="shared" si="8"/>
        <v>StrongLumio povrchový vypínač/stmívač 12-24V, 4A konektory Mini, bílá</v>
      </c>
      <c r="C170" s="4" t="s">
        <v>5186</v>
      </c>
      <c r="D170" t="str">
        <f>VLOOKUP(C170,'1066'!C:E,2,0)</f>
        <v>StrongLumio povrchový vypínač/stmívač 12-24V, 4A konektory Mini, bílá</v>
      </c>
      <c r="E170">
        <v>48</v>
      </c>
      <c r="F170">
        <v>96</v>
      </c>
    </row>
    <row r="171" spans="2:6" x14ac:dyDescent="0.25">
      <c r="B171" t="str">
        <f t="shared" si="8"/>
        <v>StrongLumio povrchový vypínač/stmívač 12-24V, 4A konektory Mini, stříbrná</v>
      </c>
      <c r="C171" s="4" t="s">
        <v>5188</v>
      </c>
      <c r="D171" t="str">
        <f>VLOOKUP(C171,'1066'!C:E,2,0)</f>
        <v>StrongLumio povrchový vypínač/stmívač 12-24V, 4A konektory Mini, stříbrná</v>
      </c>
      <c r="E171">
        <v>48</v>
      </c>
      <c r="F171">
        <v>96</v>
      </c>
    </row>
    <row r="172" spans="2:6" x14ac:dyDescent="0.25">
      <c r="B172" t="str">
        <f t="shared" si="8"/>
        <v>StrongLumio bezdotykový vypínač/stmívač alu, 12/24V 48/96W 4A Mini, černá</v>
      </c>
      <c r="C172" s="4" t="s">
        <v>4853</v>
      </c>
      <c r="D172" t="str">
        <f>VLOOKUP(C172,'1066'!C:E,2,0)</f>
        <v>StrongLumio bezdotykový vypínač/stmívač alu, 12/24V 48/96W 4A Mini, černá</v>
      </c>
      <c r="E172">
        <v>48</v>
      </c>
      <c r="F172">
        <v>96</v>
      </c>
    </row>
    <row r="173" spans="2:6" x14ac:dyDescent="0.25">
      <c r="B173" t="str">
        <f t="shared" si="8"/>
        <v>StrongLumio bezdotykový vypínač/stmívač alu, 12/24V 48/96W 4A Mini, bílá</v>
      </c>
      <c r="C173" s="4" t="s">
        <v>4852</v>
      </c>
      <c r="D173" t="str">
        <f>VLOOKUP(C173,'1066'!C:E,2,0)</f>
        <v>StrongLumio bezdotykový vypínač/stmívač alu, 12/24V 48/96W 4A Mini, bílá</v>
      </c>
      <c r="E173">
        <v>48</v>
      </c>
      <c r="F173">
        <v>96</v>
      </c>
    </row>
    <row r="174" spans="2:6" x14ac:dyDescent="0.25">
      <c r="B174" t="str">
        <f t="shared" si="8"/>
        <v>StrongLumio bezdotykový vypínač plast, 12-24V, 4A konektory Mini</v>
      </c>
      <c r="C174" s="4" t="s">
        <v>4851</v>
      </c>
      <c r="D174" t="str">
        <f>VLOOKUP(C174,'1066'!C:E,2,0)</f>
        <v>StrongLumio bezdotykový vypínač plast, 12-24V, 4A konektory Mini</v>
      </c>
      <c r="E174">
        <v>48</v>
      </c>
      <c r="F174">
        <v>96</v>
      </c>
    </row>
    <row r="175" spans="2:6" x14ac:dyDescent="0.25">
      <c r="B175" t="str">
        <f t="shared" si="8"/>
        <v>StrongLumio podpovrchový vypínač/stmívač 12-24V, 4A konektory Mini, bílá</v>
      </c>
      <c r="C175" s="4" t="s">
        <v>5182</v>
      </c>
      <c r="D175" t="str">
        <f>VLOOKUP(C175,'1066'!C:E,2,0)</f>
        <v>StrongLumio podpovrchový vypínač/stmívač 12-24V, 4A konektory Mini, bílá</v>
      </c>
      <c r="E175">
        <v>48</v>
      </c>
      <c r="F175">
        <v>96</v>
      </c>
    </row>
    <row r="189" spans="2:18" x14ac:dyDescent="0.25">
      <c r="K189" s="330"/>
      <c r="L189" s="330"/>
      <c r="M189" s="330"/>
      <c r="N189" s="330"/>
      <c r="O189" s="330"/>
      <c r="P189" s="330"/>
      <c r="Q189" s="330"/>
      <c r="R189" s="330"/>
    </row>
    <row r="190" spans="2:18" x14ac:dyDescent="0.25">
      <c r="C190" t="s">
        <v>767</v>
      </c>
      <c r="E190" s="10" t="s">
        <v>5784</v>
      </c>
      <c r="F190" s="10" t="s">
        <v>5785</v>
      </c>
    </row>
    <row r="191" spans="2:18" x14ac:dyDescent="0.25">
      <c r="B191" t="str">
        <f t="shared" ref="B191:B205" si="9">D191</f>
        <v>StrongLumio bezdrátový vypínač samonapájecí kulatý bílý</v>
      </c>
      <c r="C191" s="4" t="s">
        <v>4872</v>
      </c>
      <c r="D191" t="str">
        <f>VLOOKUP(C191,'1066'!C:E,2,0)</f>
        <v>StrongLumio bezdrátový vypínač samonapájecí kulatý bílý</v>
      </c>
      <c r="E191">
        <f>IF($B$214=Sestava1!$G$114,$E$214,IF($B$215=Sestava1!$G$114,$E$215,IF($B$216=Sestava1!$G$114,$E$216,0)))</f>
        <v>0</v>
      </c>
      <c r="F191">
        <f>IF($B$214=Sestava1!$G$114,$F$214,IF($B$215=Sestava1!$G$114,$F$215,IF($B$216=Sestava1!$G$114,$F$216,0)))</f>
        <v>0</v>
      </c>
    </row>
    <row r="192" spans="2:18" x14ac:dyDescent="0.25">
      <c r="B192" t="str">
        <f t="shared" si="9"/>
        <v>StrongLumio bezdrátový vypínač samonapájecí kulatý černý</v>
      </c>
      <c r="C192" s="4" t="s">
        <v>4873</v>
      </c>
      <c r="D192" t="str">
        <f>VLOOKUP(C192,'1066'!C:E,2,0)</f>
        <v>StrongLumio bezdrátový vypínač samonapájecí kulatý černý</v>
      </c>
      <c r="E192">
        <f>IF($B$214=Sestava1!$G$114,$E$214,IF($B$215=Sestava1!$G$114,$E$215,IF($B$216=Sestava1!$G$114,$E$216,0)))</f>
        <v>0</v>
      </c>
      <c r="F192">
        <f>IF($B$214=Sestava1!$G$114,$F$214,IF($B$215=Sestava1!$G$114,$F$215,IF($B$216=Sestava1!$G$114,$F$216,0)))</f>
        <v>0</v>
      </c>
    </row>
    <row r="193" spans="2:6" x14ac:dyDescent="0.25">
      <c r="B193" t="str">
        <f t="shared" si="9"/>
        <v>StrongLumio bezdrátový vypínač samonapájecí 35mm k zafrézování bílý</v>
      </c>
      <c r="C193" s="4" t="s">
        <v>4870</v>
      </c>
      <c r="D193" t="str">
        <f>VLOOKUP(C193,'1066'!C:E,2,0)</f>
        <v>StrongLumio bezdrátový vypínač samonapájecí 35mm k zafrézování bílý</v>
      </c>
      <c r="E193">
        <f>IF($B$214=Sestava1!$G$114,$E$214,IF($B$215=Sestava1!$G$114,$E$215,IF($B$216=Sestava1!$G$114,$E$216,0)))</f>
        <v>0</v>
      </c>
      <c r="F193">
        <f>IF($B$214=Sestava1!$G$114,$F$214,IF($B$215=Sestava1!$G$114,$F$215,IF($B$216=Sestava1!$G$114,$F$216,0)))</f>
        <v>0</v>
      </c>
    </row>
    <row r="194" spans="2:6" x14ac:dyDescent="0.25">
      <c r="B194" t="str">
        <f t="shared" si="9"/>
        <v>StrongLumio bezdrátový vypínač samonapájecí 35mm k zafrézování černý</v>
      </c>
      <c r="C194" s="4" t="s">
        <v>4871</v>
      </c>
      <c r="D194" t="str">
        <f>VLOOKUP(C194,'1066'!C:E,2,0)</f>
        <v>StrongLumio bezdrátový vypínač samonapájecí 35mm k zafrézování černý</v>
      </c>
      <c r="E194">
        <f>IF($B$214=Sestava1!$G$114,$E$214,IF($B$215=Sestava1!$G$114,$E$215,IF($B$216=Sestava1!$G$114,$E$216,0)))</f>
        <v>0</v>
      </c>
      <c r="F194">
        <f>IF($B$214=Sestava1!$G$114,$F$214,IF($B$215=Sestava1!$G$114,$F$215,IF($B$216=Sestava1!$G$114,$F$216,0)))</f>
        <v>0</v>
      </c>
    </row>
    <row r="195" spans="2:6" x14ac:dyDescent="0.25">
      <c r="B195" t="str">
        <f t="shared" si="9"/>
        <v>StrongLumio bezdrátový vypínač samonapájecí - 1 tlačítko bílá</v>
      </c>
      <c r="C195" s="4" t="s">
        <v>4859</v>
      </c>
      <c r="D195" t="str">
        <f>VLOOKUP(C195,'1066'!C:E,2,0)</f>
        <v>StrongLumio bezdrátový vypínač samonapájecí - 1 tlačítko bílá</v>
      </c>
      <c r="E195">
        <f>IF($B$214=Sestava1!$G$114,$E$214,IF($B$215=Sestava1!$G$114,$E$215,IF($B$216=Sestava1!$G$114,$E$216,0)))</f>
        <v>0</v>
      </c>
      <c r="F195">
        <f>IF($B$214=Sestava1!$G$114,$F$214,IF($B$215=Sestava1!$G$114,$F$215,IF($B$216=Sestava1!$G$114,$F$216,0)))</f>
        <v>0</v>
      </c>
    </row>
    <row r="196" spans="2:6" x14ac:dyDescent="0.25">
      <c r="B196" t="str">
        <f t="shared" si="9"/>
        <v>StrongLumio bezdrátový vypínač samonapájecí - 1 tlačítko černá</v>
      </c>
      <c r="C196" s="4" t="s">
        <v>4860</v>
      </c>
      <c r="D196" t="str">
        <f>VLOOKUP(C196,'1066'!C:E,2,0)</f>
        <v>StrongLumio bezdrátový vypínač samonapájecí - 1 tlačítko černá</v>
      </c>
      <c r="E196">
        <f>IF($B$214=Sestava1!$G$114,$E$214,IF($B$215=Sestava1!$G$114,$E$215,IF($B$216=Sestava1!$G$114,$E$216,0)))</f>
        <v>0</v>
      </c>
      <c r="F196">
        <f>IF($B$214=Sestava1!$G$114,$F$214,IF($B$215=Sestava1!$G$114,$F$215,IF($B$216=Sestava1!$G$114,$F$216,0)))</f>
        <v>0</v>
      </c>
    </row>
    <row r="197" spans="2:6" x14ac:dyDescent="0.25">
      <c r="B197" t="str">
        <f t="shared" si="9"/>
        <v>StrongLumio bezdrátový vypínač samonapájecí - 1 tlačítko stříbrná</v>
      </c>
      <c r="C197" s="4" t="s">
        <v>4861</v>
      </c>
      <c r="D197" t="str">
        <f>VLOOKUP(C197,'1066'!C:E,2,0)</f>
        <v>StrongLumio bezdrátový vypínač samonapájecí - 1 tlačítko stříbrná</v>
      </c>
      <c r="E197">
        <f>IF($B$214=Sestava1!$G$114,$E$214,IF($B$215=Sestava1!$G$114,$E$215,IF($B$216=Sestava1!$G$114,$E$216,0)))</f>
        <v>0</v>
      </c>
      <c r="F197">
        <f>IF($B$214=Sestava1!$G$114,$F$214,IF($B$215=Sestava1!$G$114,$F$215,IF($B$216=Sestava1!$G$114,$F$216,0)))</f>
        <v>0</v>
      </c>
    </row>
    <row r="198" spans="2:6" x14ac:dyDescent="0.25">
      <c r="B198" t="str">
        <f t="shared" si="9"/>
        <v>StrongLumio bezdrátový vypínač samonapájecí - 1 tlačítko zlatá</v>
      </c>
      <c r="C198" s="4" t="s">
        <v>4862</v>
      </c>
      <c r="D198" t="str">
        <f>VLOOKUP(C198,'1066'!C:E,2,0)</f>
        <v>StrongLumio bezdrátový vypínač samonapájecí - 1 tlačítko zlatá</v>
      </c>
      <c r="E198">
        <f>IF($B$214=Sestava1!$G$114,$E$214,IF($B$215=Sestava1!$G$114,$E$215,IF($B$216=Sestava1!$G$114,$E$216,0)))</f>
        <v>0</v>
      </c>
      <c r="F198">
        <f>IF($B$214=Sestava1!$G$114,$F$214,IF($B$215=Sestava1!$G$114,$F$215,IF($B$216=Sestava1!$G$114,$F$216,0)))</f>
        <v>0</v>
      </c>
    </row>
    <row r="199" spans="2:6" x14ac:dyDescent="0.25">
      <c r="B199" t="str">
        <f t="shared" si="9"/>
        <v>StrongLumio bezdrátový vypínač samonapájecí - 2 tlačítka bílá</v>
      </c>
      <c r="C199" s="4" t="s">
        <v>4863</v>
      </c>
      <c r="D199" t="str">
        <f>VLOOKUP(C199,'1066'!C:E,2,0)</f>
        <v>StrongLumio bezdrátový vypínač samonapájecí - 2 tlačítka bílá</v>
      </c>
      <c r="E199">
        <f>IF($B$214=Sestava1!$G$114,$E$214,IF($B$215=Sestava1!$G$114,$E$215,IF($B$216=Sestava1!$G$114,$E$216,0)))</f>
        <v>0</v>
      </c>
      <c r="F199">
        <f>IF($B$214=Sestava1!$G$114,$F$214,IF($B$215=Sestava1!$G$114,$F$215,IF($B$216=Sestava1!$G$114,$F$216,0)))</f>
        <v>0</v>
      </c>
    </row>
    <row r="200" spans="2:6" x14ac:dyDescent="0.25">
      <c r="B200" t="str">
        <f t="shared" si="9"/>
        <v>StrongLumio bezdrátový vypínač samonapájecí - 2 tlačítka černá</v>
      </c>
      <c r="C200" s="4" t="s">
        <v>4864</v>
      </c>
      <c r="D200" t="str">
        <f>VLOOKUP(C200,'1066'!C:E,2,0)</f>
        <v>StrongLumio bezdrátový vypínač samonapájecí - 2 tlačítka černá</v>
      </c>
      <c r="E200">
        <f>IF($B$214=Sestava1!$G$114,$E$214,IF($B$215=Sestava1!$G$114,$E$215,IF($B$216=Sestava1!$G$114,$E$216,0)))</f>
        <v>0</v>
      </c>
      <c r="F200">
        <f>IF($B$214=Sestava1!$G$114,$F$214,IF($B$215=Sestava1!$G$114,$F$215,IF($B$216=Sestava1!$G$114,$F$216,0)))</f>
        <v>0</v>
      </c>
    </row>
    <row r="201" spans="2:6" x14ac:dyDescent="0.25">
      <c r="B201" t="str">
        <f t="shared" si="9"/>
        <v>StrongLumio bezdrátový vypínač samonapájecí - 2 tlačítka stříbrná</v>
      </c>
      <c r="C201" s="4" t="s">
        <v>4865</v>
      </c>
      <c r="D201" t="str">
        <f>VLOOKUP(C201,'1066'!C:E,2,0)</f>
        <v>StrongLumio bezdrátový vypínač samonapájecí - 2 tlačítka stříbrná</v>
      </c>
      <c r="E201">
        <f>IF($B$214=Sestava1!$G$114,$E$214,IF($B$215=Sestava1!$G$114,$E$215,IF($B$216=Sestava1!$G$114,$E$216,0)))</f>
        <v>0</v>
      </c>
      <c r="F201">
        <f>IF($B$214=Sestava1!$G$114,$F$214,IF($B$215=Sestava1!$G$114,$F$215,IF($B$216=Sestava1!$G$114,$F$216,0)))</f>
        <v>0</v>
      </c>
    </row>
    <row r="202" spans="2:6" x14ac:dyDescent="0.25">
      <c r="B202" t="str">
        <f t="shared" si="9"/>
        <v>StrongLumio bezdrátový vypínač samonapájecí - 2 tlačítka zlatá</v>
      </c>
      <c r="C202" s="4" t="s">
        <v>4866</v>
      </c>
      <c r="D202" t="str">
        <f>VLOOKUP(C202,'1066'!C:E,2,0)</f>
        <v>StrongLumio bezdrátový vypínač samonapájecí - 2 tlačítka zlatá</v>
      </c>
      <c r="E202">
        <f>IF($B$214=Sestava1!$G$114,$E$214,IF($B$215=Sestava1!$G$114,$E$215,IF($B$216=Sestava1!$G$114,$E$216,0)))</f>
        <v>0</v>
      </c>
      <c r="F202">
        <f>IF($B$214=Sestava1!$G$114,$F$214,IF($B$215=Sestava1!$G$114,$F$215,IF($B$216=Sestava1!$G$114,$F$216,0)))</f>
        <v>0</v>
      </c>
    </row>
    <row r="203" spans="2:6" x14ac:dyDescent="0.25">
      <c r="B203" t="str">
        <f t="shared" si="9"/>
        <v>StrongLumio bezdrátový vypínač samonapájecí - 3 tlačítka bílá</v>
      </c>
      <c r="C203" s="4" t="s">
        <v>4867</v>
      </c>
      <c r="D203" t="str">
        <f>VLOOKUP(C203,'1066'!C:E,2,0)</f>
        <v>StrongLumio bezdrátový vypínač samonapájecí - 3 tlačítka bílá</v>
      </c>
      <c r="E203">
        <f>IF($B$214=Sestava1!$G$114,$E$214,IF($B$215=Sestava1!$G$114,$E$215,IF($B$216=Sestava1!$G$114,$E$216,0)))</f>
        <v>0</v>
      </c>
      <c r="F203">
        <f>IF($B$214=Sestava1!$G$114,$F$214,IF($B$215=Sestava1!$G$114,$F$215,IF($B$216=Sestava1!$G$114,$F$216,0)))</f>
        <v>0</v>
      </c>
    </row>
    <row r="204" spans="2:6" x14ac:dyDescent="0.25">
      <c r="B204" t="str">
        <f t="shared" si="9"/>
        <v>StrongLumio bezdrátový vypínač samonapájecí - 3 tlačítka černá</v>
      </c>
      <c r="C204" s="4" t="s">
        <v>4868</v>
      </c>
      <c r="D204" t="str">
        <f>VLOOKUP(C204,'1066'!C:E,2,0)</f>
        <v>StrongLumio bezdrátový vypínač samonapájecí - 3 tlačítka černá</v>
      </c>
      <c r="E204">
        <f>IF($B$214=Sestava1!$G$114,$E$214,IF($B$215=Sestava1!$G$114,$E$215,IF($B$216=Sestava1!$G$114,$E$216,0)))</f>
        <v>0</v>
      </c>
      <c r="F204">
        <f>IF($B$214=Sestava1!$G$114,$F$214,IF($B$215=Sestava1!$G$114,$F$215,IF($B$216=Sestava1!$G$114,$F$216,0)))</f>
        <v>0</v>
      </c>
    </row>
    <row r="205" spans="2:6" x14ac:dyDescent="0.25">
      <c r="B205" t="str">
        <f t="shared" si="9"/>
        <v>StrongLumio bezdrátový vypínač samonapájecí - 3 tlačítka stříbrná</v>
      </c>
      <c r="C205" s="4" t="s">
        <v>4869</v>
      </c>
      <c r="D205" t="str">
        <f>VLOOKUP(C205,'1066'!C:E,2,0)</f>
        <v>StrongLumio bezdrátový vypínač samonapájecí - 3 tlačítka stříbrná</v>
      </c>
      <c r="E205">
        <f>IF($B$214=Sestava1!$G$114,$E$214,IF($B$215=Sestava1!$G$114,$E$215,IF($B$216=Sestava1!$G$114,$E$216,0)))</f>
        <v>0</v>
      </c>
      <c r="F205">
        <f>IF($B$214=Sestava1!$G$114,$F$214,IF($B$215=Sestava1!$G$114,$F$215,IF($B$216=Sestava1!$G$114,$F$216,0)))</f>
        <v>0</v>
      </c>
    </row>
    <row r="213" spans="2:18" x14ac:dyDescent="0.25">
      <c r="C213" s="4" t="s">
        <v>768</v>
      </c>
      <c r="E213" s="10" t="s">
        <v>5784</v>
      </c>
      <c r="F213" s="10" t="s">
        <v>5785</v>
      </c>
    </row>
    <row r="214" spans="2:18" x14ac:dyDescent="0.25">
      <c r="B214" t="str">
        <f t="shared" ref="B214:B216" si="10">D214</f>
        <v>StrongLumio přijímač/rozvaděč pro bezdrátové samonapájecí vypínače 12/24V</v>
      </c>
      <c r="C214" s="4" t="s">
        <v>5328</v>
      </c>
      <c r="D214" t="str">
        <f>VLOOKUP(C214,'1066'!C:E,2,0)</f>
        <v>StrongLumio přijímač/rozvaděč pro bezdrátové samonapájecí vypínače 12/24V</v>
      </c>
      <c r="E214" s="27">
        <v>36</v>
      </c>
      <c r="F214">
        <v>72</v>
      </c>
    </row>
    <row r="215" spans="2:18" x14ac:dyDescent="0.25">
      <c r="B215" t="str">
        <f t="shared" si="10"/>
        <v>StrongLumio přijímač pro bezdrátové samonapájecí vypínače 12/24V (Wi-fi)</v>
      </c>
      <c r="C215" s="4" t="s">
        <v>5324</v>
      </c>
      <c r="D215" t="str">
        <f>VLOOKUP(C215,'1066'!C:E,2,0)</f>
        <v>StrongLumio přijímač pro bezdrátové samonapájecí vypínače 12/24V (Wi-fi)</v>
      </c>
      <c r="E215" s="27">
        <v>108</v>
      </c>
      <c r="F215">
        <v>216</v>
      </c>
    </row>
    <row r="216" spans="2:18" x14ac:dyDescent="0.25">
      <c r="B216" t="str">
        <f t="shared" si="10"/>
        <v>StrongLumio spínací relé pro bezdrátové samonapájecí vypínače 230V</v>
      </c>
      <c r="C216" s="4" t="s">
        <v>5370</v>
      </c>
      <c r="D216" t="str">
        <f>VLOOKUP(C216,'1066'!C:E,2,0)</f>
        <v>StrongLumio spínací relé pro bezdrátové samonapájecí vypínače 230V</v>
      </c>
      <c r="E216" s="27">
        <v>500</v>
      </c>
      <c r="F216">
        <v>500</v>
      </c>
    </row>
    <row r="218" spans="2:18" x14ac:dyDescent="0.25">
      <c r="M218" s="330"/>
      <c r="N218" s="330"/>
      <c r="O218" s="330"/>
      <c r="P218" s="330"/>
      <c r="Q218" s="330"/>
      <c r="R218" s="330"/>
    </row>
    <row r="219" spans="2:18" x14ac:dyDescent="0.25">
      <c r="C219" s="4" t="s">
        <v>769</v>
      </c>
      <c r="E219" s="10" t="s">
        <v>5784</v>
      </c>
      <c r="F219" s="10" t="s">
        <v>5785</v>
      </c>
    </row>
    <row r="220" spans="2:18" x14ac:dyDescent="0.25">
      <c r="B220" t="str">
        <f t="shared" ref="B220:B225" si="11">D220</f>
        <v>StrongLumio dálkový ovladač RF univerzální 2 v 1</v>
      </c>
      <c r="C220" s="4" t="s">
        <v>4878</v>
      </c>
      <c r="D220" t="str">
        <f>VLOOKUP(C220,'1066'!C:E,2,0)</f>
        <v>StrongLumio dálkový ovladač RF univerzální 2 v 1</v>
      </c>
      <c r="E220" s="6">
        <f>IF(B228=Sestava1!G114,Produkty!E228,IF(Produkty!B229=Sestava1!G114,Produkty!E229,0))</f>
        <v>0</v>
      </c>
      <c r="F220">
        <f>IF(B228=Sestava1!G114,F228,IF(Produkty!B229=Sestava1!G114,F229,0))</f>
        <v>0</v>
      </c>
    </row>
    <row r="221" spans="2:18" x14ac:dyDescent="0.25">
      <c r="B221" t="str">
        <f t="shared" si="11"/>
        <v>StrongLumio dálkový ovladač otočný DIM/CCT/RGB/RGBW - 1 zóna</v>
      </c>
      <c r="C221" s="4" t="s">
        <v>4876</v>
      </c>
      <c r="D221" t="str">
        <f>VLOOKUP(C221,'1066'!C:E,2,0)</f>
        <v>StrongLumio dálkový ovladač otočný DIM/CCT/RGB/RGBW - 1 zóna</v>
      </c>
      <c r="E221" s="6">
        <f>IF(B228=Sestava1!G114,Produkty!E228,IF(Produkty!B229=Sestava1!G114,Produkty!E229,0))</f>
        <v>0</v>
      </c>
      <c r="F221">
        <f>IF(B228=Sestava1!G114,F228,IF(B229=Sestava1!G114,F229,0))</f>
        <v>0</v>
      </c>
    </row>
    <row r="222" spans="2:18" x14ac:dyDescent="0.25">
      <c r="B222" t="str">
        <f t="shared" si="11"/>
        <v>StrongLumio Power dálkový ovladač/stmívač 1x25A</v>
      </c>
      <c r="C222" s="4" t="s">
        <v>5189</v>
      </c>
      <c r="D222" t="str">
        <f>VLOOKUP(C222,'1066'!C:E,2,0)</f>
        <v>StrongLumio Power dálkový ovladač/stmívač 1x25A</v>
      </c>
      <c r="E222" s="70">
        <v>300</v>
      </c>
      <c r="F222" s="10">
        <v>600</v>
      </c>
    </row>
    <row r="223" spans="2:18" x14ac:dyDescent="0.25">
      <c r="B223" t="str">
        <f t="shared" si="11"/>
        <v>StrongLumio RF dálkový vypínač/stmívač 12V/24V</v>
      </c>
      <c r="C223" s="4" t="s">
        <v>5338</v>
      </c>
      <c r="D223" t="str">
        <f>VLOOKUP(C223,'1066'!C:E,2,0)</f>
        <v>StrongLumio RF dálkový vypínač/stmívač 12V/24V</v>
      </c>
      <c r="E223" s="70">
        <v>72</v>
      </c>
      <c r="F223" s="10">
        <v>144</v>
      </c>
    </row>
    <row r="224" spans="2:18" x14ac:dyDescent="0.25">
      <c r="B224" t="str">
        <f t="shared" si="11"/>
        <v>StrongLumio RF dálkový ovladač/stmívač 12V/24V 1 zóna</v>
      </c>
      <c r="C224" s="4" t="s">
        <v>5337</v>
      </c>
      <c r="D224" t="str">
        <f>VLOOKUP(C224,'1066'!C:E,2,0)</f>
        <v>StrongLumio RF dálkový ovladač/stmívač 12V/24V 1 zóna</v>
      </c>
      <c r="E224" s="70">
        <v>180</v>
      </c>
      <c r="F224">
        <v>360</v>
      </c>
    </row>
    <row r="225" spans="2:14" x14ac:dyDescent="0.25">
      <c r="B225" t="str">
        <f t="shared" si="11"/>
        <v>StrongLumio bezdrátový nabíjecí dotykový vypínač/stmívač</v>
      </c>
      <c r="C225" s="4" t="s">
        <v>4855</v>
      </c>
      <c r="D225" t="str">
        <f>VLOOKUP(C225,'1066'!C:E,2,0)</f>
        <v>StrongLumio bezdrátový nabíjecí dotykový vypínač/stmívač</v>
      </c>
      <c r="E225" s="27">
        <f>E231</f>
        <v>42</v>
      </c>
      <c r="F225">
        <f>F231</f>
        <v>84</v>
      </c>
    </row>
    <row r="227" spans="2:14" x14ac:dyDescent="0.25">
      <c r="C227" s="4" t="s">
        <v>770</v>
      </c>
      <c r="E227" s="10" t="s">
        <v>5784</v>
      </c>
      <c r="F227" s="10" t="s">
        <v>5785</v>
      </c>
    </row>
    <row r="228" spans="2:14" x14ac:dyDescent="0.25">
      <c r="B228" t="str">
        <f t="shared" ref="B228:B229" si="12">D228</f>
        <v>StrongLumio řídicí jednotka RF univerzální, 4 v 1</v>
      </c>
      <c r="C228" s="4" t="s">
        <v>5346</v>
      </c>
      <c r="D228" t="str">
        <f>VLOOKUP(C228,'1066'!C:E,2,0)</f>
        <v>StrongLumio řídicí jednotka RF univerzální, 4 v 1</v>
      </c>
      <c r="E228">
        <v>72</v>
      </c>
      <c r="F228">
        <v>144</v>
      </c>
    </row>
    <row r="229" spans="2:14" x14ac:dyDescent="0.25">
      <c r="B229" t="str">
        <f t="shared" si="12"/>
        <v>StrongLumio řídicí jednotka WiFi univerzální 5 v 1 - Smart (TUYA)</v>
      </c>
      <c r="C229" s="4" t="s">
        <v>5347</v>
      </c>
      <c r="D229" t="str">
        <f>VLOOKUP(C229,'1066'!C:E,2,0)</f>
        <v>StrongLumio řídicí jednotka WiFi univerzální 5 v 1 - Smart (TUYA)</v>
      </c>
      <c r="E229">
        <v>240</v>
      </c>
      <c r="F229">
        <v>480</v>
      </c>
    </row>
    <row r="230" spans="2:14" x14ac:dyDescent="0.25">
      <c r="E230" s="10" t="s">
        <v>5784</v>
      </c>
      <c r="F230" s="10" t="s">
        <v>5785</v>
      </c>
    </row>
    <row r="231" spans="2:14" x14ac:dyDescent="0.25">
      <c r="B231" t="str">
        <f t="shared" ref="B231" si="13">D231</f>
        <v>StrongLumio přijímač pro bezdrátové nabíjecí senzory Jack/6x Mini</v>
      </c>
      <c r="C231" s="4" t="s">
        <v>5323</v>
      </c>
      <c r="D231" t="str">
        <f>VLOOKUP(C231,'1066'!C:E,2,0)</f>
        <v>StrongLumio přijímač pro bezdrátové nabíjecí senzory Jack/6x Mini</v>
      </c>
      <c r="E231">
        <v>42</v>
      </c>
      <c r="F231">
        <v>84</v>
      </c>
    </row>
    <row r="233" spans="2:14" x14ac:dyDescent="0.25">
      <c r="C233" s="4" t="s">
        <v>771</v>
      </c>
      <c r="K233" s="27" t="s">
        <v>772</v>
      </c>
      <c r="L233" s="27"/>
    </row>
    <row r="234" spans="2:14" x14ac:dyDescent="0.25">
      <c r="B234" t="str">
        <f t="shared" ref="B234:B239" si="14">D234</f>
        <v>StrongLumio napájecí zdroj plochý pro LED 12V, 15W</v>
      </c>
      <c r="C234" s="4" t="s">
        <v>5146</v>
      </c>
      <c r="D234" t="str">
        <f>VLOOKUP(C234,'1066'!C:E,2,0)</f>
        <v>StrongLumio napájecí zdroj plochý pro LED 12V, 15W</v>
      </c>
      <c r="E234" t="str">
        <f>VLOOKUP(C234,'1066'!C:F,3,0)</f>
        <v>StrongLumio napájecí zdroj plochý pro LED 12V, 15W</v>
      </c>
      <c r="F234" t="str">
        <f>VLOOKUP(C234,'1066'!C:G,4,0)</f>
        <v>StrongLumio napájací zdroj plochý pre LED 12V, 15W</v>
      </c>
      <c r="G234" t="str">
        <f>VLOOKUP(C234,'1066'!C:H,5,0)</f>
        <v>StrongLumio zasilacz płaski do LED 12V, 15W</v>
      </c>
      <c r="K234">
        <v>0</v>
      </c>
      <c r="L234">
        <v>15</v>
      </c>
      <c r="M234" t="str">
        <f>C234</f>
        <v>405183</v>
      </c>
      <c r="N234" t="str">
        <f>B234</f>
        <v>StrongLumio napájecí zdroj plochý pro LED 12V, 15W</v>
      </c>
    </row>
    <row r="235" spans="2:14" x14ac:dyDescent="0.25">
      <c r="B235" t="str">
        <f t="shared" si="14"/>
        <v>StrongLumio napájecí zdroj plochý pro LED 12V, 30W</v>
      </c>
      <c r="C235" s="4" t="s">
        <v>5147</v>
      </c>
      <c r="D235" t="str">
        <f>VLOOKUP(C235,'1066'!C:E,2,0)</f>
        <v>StrongLumio napájecí zdroj plochý pro LED 12V, 30W</v>
      </c>
      <c r="E235" t="str">
        <f>VLOOKUP(C235,'1066'!C:F,3,0)</f>
        <v>StrongLumio napájecí zdroj plochý pro LED 12V, 30W</v>
      </c>
      <c r="F235" t="str">
        <f>VLOOKUP(C235,'1066'!C:G,4,0)</f>
        <v>StrongLumio napájací zdroj plochý pre LED 12V, 30W</v>
      </c>
      <c r="G235" t="str">
        <f>VLOOKUP(C235,'1066'!C:H,5,0)</f>
        <v>StrongLumio zasilacz płaski do LED 12V, 30W</v>
      </c>
      <c r="K235">
        <v>16</v>
      </c>
      <c r="L235">
        <v>30</v>
      </c>
      <c r="M235" t="str">
        <f t="shared" ref="M235:M239" si="15">C235</f>
        <v>405184</v>
      </c>
      <c r="N235" t="str">
        <f t="shared" ref="N235:N239" si="16">B235</f>
        <v>StrongLumio napájecí zdroj plochý pro LED 12V, 30W</v>
      </c>
    </row>
    <row r="236" spans="2:14" x14ac:dyDescent="0.25">
      <c r="B236" t="str">
        <f t="shared" si="14"/>
        <v>StrongLumio napájecí zdroj plochý pro LED 12V - 50W</v>
      </c>
      <c r="C236" s="4" t="s">
        <v>5144</v>
      </c>
      <c r="D236" t="str">
        <f>VLOOKUP(C236,'1066'!C:E,2,0)</f>
        <v>StrongLumio napájecí zdroj plochý pro LED 12V - 50W</v>
      </c>
      <c r="E236" t="str">
        <f>VLOOKUP(C236,'1066'!C:F,3,0)</f>
        <v>StrongLumio napájecí zdroj plochý pro LED 12V - 50W</v>
      </c>
      <c r="F236" t="str">
        <f>VLOOKUP(C236,'1066'!C:G,4,0)</f>
        <v>StrongLumio napájací zdroj plochý pre LED 12V – 50W</v>
      </c>
      <c r="G236" t="str">
        <f>VLOOKUP(C236,'1066'!C:H,5,0)</f>
        <v>StrongLumio zasilacz płaski do LED 12V – 50W</v>
      </c>
      <c r="K236">
        <v>31</v>
      </c>
      <c r="L236">
        <v>50</v>
      </c>
      <c r="M236" t="str">
        <f t="shared" si="15"/>
        <v>544903</v>
      </c>
      <c r="N236" t="str">
        <f t="shared" si="16"/>
        <v>StrongLumio napájecí zdroj plochý pro LED 12V - 50W</v>
      </c>
    </row>
    <row r="237" spans="2:14" x14ac:dyDescent="0.25">
      <c r="B237" t="str">
        <f t="shared" si="14"/>
        <v>StrongLumio napájecí zdroj plochý pro LED 12V, 75W</v>
      </c>
      <c r="C237" s="4" t="s">
        <v>5149</v>
      </c>
      <c r="D237" t="str">
        <f>VLOOKUP(C237,'1066'!C:E,2,0)</f>
        <v>StrongLumio napájecí zdroj plochý pro LED 12V, 75W</v>
      </c>
      <c r="E237" t="str">
        <f>VLOOKUP(C237,'1066'!C:F,3,0)</f>
        <v>StrongLumio napájecí zdroj plochý pro LED 12V, 75W</v>
      </c>
      <c r="F237" t="str">
        <f>VLOOKUP(C237,'1066'!C:G,4,0)</f>
        <v>StrongLumio napájací zdroj plochý pre LED 12V, 75W</v>
      </c>
      <c r="G237" t="str">
        <f>VLOOKUP(C237,'1066'!C:H,5,0)</f>
        <v>StrongLumio zasilacz płaski do LED 12V, 75W</v>
      </c>
      <c r="K237">
        <v>51</v>
      </c>
      <c r="L237">
        <v>75</v>
      </c>
      <c r="M237" t="str">
        <f t="shared" si="15"/>
        <v>405186</v>
      </c>
      <c r="N237" t="str">
        <f t="shared" si="16"/>
        <v>StrongLumio napájecí zdroj plochý pro LED 12V, 75W</v>
      </c>
    </row>
    <row r="238" spans="2:14" x14ac:dyDescent="0.25">
      <c r="B238" t="str">
        <f t="shared" si="14"/>
        <v>StrongLumio napájecí zdroj plochý pro LED 12V, 100W</v>
      </c>
      <c r="C238" s="4" t="s">
        <v>5145</v>
      </c>
      <c r="D238" t="str">
        <f>VLOOKUP(C238,'1066'!C:E,2,0)</f>
        <v>StrongLumio napájecí zdroj plochý pro LED 12V, 100W</v>
      </c>
      <c r="E238" t="str">
        <f>VLOOKUP(C238,'1066'!C:F,3,0)</f>
        <v>StrongLumio napájecí zdroj plochý pro LED 12V, 100W</v>
      </c>
      <c r="F238" t="str">
        <f>VLOOKUP(C238,'1066'!C:G,4,0)</f>
        <v>StrongLumio napájací zdroj plochý pre LED 12V, 100W</v>
      </c>
      <c r="G238" t="str">
        <f>VLOOKUP(C238,'1066'!C:H,5,0)</f>
        <v>StrongLumio zasilacz płaski do LED 12V, 100W</v>
      </c>
      <c r="K238">
        <v>76</v>
      </c>
      <c r="L238">
        <v>100</v>
      </c>
      <c r="M238" t="str">
        <f t="shared" si="15"/>
        <v>405187</v>
      </c>
      <c r="N238" t="str">
        <f t="shared" si="16"/>
        <v>StrongLumio napájecí zdroj plochý pro LED 12V, 100W</v>
      </c>
    </row>
    <row r="239" spans="2:14" x14ac:dyDescent="0.25">
      <c r="B239" t="str">
        <f t="shared" si="14"/>
        <v>StrongLumio napájecí zdroj plochý pro LED 12V - 150W</v>
      </c>
      <c r="C239" s="4" t="s">
        <v>5143</v>
      </c>
      <c r="D239" t="str">
        <f>VLOOKUP(C239,'1066'!C:E,2,0)</f>
        <v>StrongLumio napájecí zdroj plochý pro LED 12V - 150W</v>
      </c>
      <c r="E239" t="str">
        <f>VLOOKUP(C239,'1066'!C:F,3,0)</f>
        <v>StrongLumio napájecí zdroj plochý pro LED 12V - 150W</v>
      </c>
      <c r="F239" t="str">
        <f>VLOOKUP(C239,'1066'!C:G,4,0)</f>
        <v>StrongLumio napájací zdroj plochý pre LED 12V – 150W</v>
      </c>
      <c r="G239" t="str">
        <f>VLOOKUP(C239,'1066'!C:H,5,0)</f>
        <v>StrongLumio płaski zasilacz do LED 12V – 150W</v>
      </c>
      <c r="K239">
        <v>101</v>
      </c>
      <c r="L239">
        <v>150</v>
      </c>
      <c r="M239" t="str">
        <f t="shared" si="15"/>
        <v>544904</v>
      </c>
      <c r="N239" t="str">
        <f t="shared" si="16"/>
        <v>StrongLumio napájecí zdroj plochý pro LED 12V - 150W</v>
      </c>
    </row>
    <row r="242" spans="2:14" x14ac:dyDescent="0.25">
      <c r="C242" s="4" t="s">
        <v>773</v>
      </c>
    </row>
    <row r="243" spans="2:14" x14ac:dyDescent="0.25">
      <c r="B243" t="str">
        <f t="shared" ref="B243:B247" si="17">D243</f>
        <v>StrongLumio napájecí zdroj plochý pro LED 24V - 30W</v>
      </c>
      <c r="C243" s="4" t="s">
        <v>5151</v>
      </c>
      <c r="D243" t="str">
        <f>VLOOKUP(C243,'1066'!C:E,2,0)</f>
        <v>StrongLumio napájecí zdroj plochý pro LED 24V - 30W</v>
      </c>
      <c r="E243" t="str">
        <f>VLOOKUP(C243,'1066'!C:F,3,0)</f>
        <v>StrongLumio napájecí zdroj plochý pro LED 24V - 30W</v>
      </c>
      <c r="F243" t="str">
        <f>VLOOKUP(C243,'1066'!C:G,4,0)</f>
        <v>StrongLumio napájací zdroj plochý pre LED 24V – 30W</v>
      </c>
      <c r="G243" t="str">
        <f>VLOOKUP(C243,'1066'!C:H,5,0)</f>
        <v>StrongLumio płaski zasilacz do LED 24V – 30W</v>
      </c>
      <c r="K243">
        <v>0</v>
      </c>
      <c r="L243">
        <v>30</v>
      </c>
      <c r="M243" t="str">
        <f t="shared" ref="M243:M247" si="18">C243</f>
        <v>544907</v>
      </c>
      <c r="N243" t="str">
        <f t="shared" ref="N243:N247" si="19">B243</f>
        <v>StrongLumio napájecí zdroj plochý pro LED 24V - 30W</v>
      </c>
    </row>
    <row r="244" spans="2:14" x14ac:dyDescent="0.25">
      <c r="B244" t="str">
        <f t="shared" si="17"/>
        <v>StrongLumio napájecí zdroj plochý pro LED 24V - 50W</v>
      </c>
      <c r="C244" s="4" t="s">
        <v>5152</v>
      </c>
      <c r="D244" t="str">
        <f>VLOOKUP(C244,'1066'!C:E,2,0)</f>
        <v>StrongLumio napájecí zdroj plochý pro LED 24V - 50W</v>
      </c>
      <c r="E244" t="str">
        <f>VLOOKUP(C244,'1066'!C:F,3,0)</f>
        <v>StrongLumio napájecí zdroj plochý pro LED 24V - 50W</v>
      </c>
      <c r="F244" t="str">
        <f>VLOOKUP(C244,'1066'!C:G,4,0)</f>
        <v>StrongLumio napájací zdroj plochý pre LED 24V – 50W</v>
      </c>
      <c r="G244" t="str">
        <f>VLOOKUP(C244,'1066'!C:H,5,0)</f>
        <v>StrongLumio płaski zasilacz do LED 24V – 50W</v>
      </c>
      <c r="K244">
        <v>31</v>
      </c>
      <c r="L244">
        <v>50</v>
      </c>
      <c r="M244" t="str">
        <f t="shared" si="18"/>
        <v>544902</v>
      </c>
      <c r="N244" t="str">
        <f t="shared" si="19"/>
        <v>StrongLumio napájecí zdroj plochý pro LED 24V - 50W</v>
      </c>
    </row>
    <row r="245" spans="2:14" x14ac:dyDescent="0.25">
      <c r="B245" t="str">
        <f t="shared" si="17"/>
        <v>StrongLumio napájecí zdroj plochý pro LED 24V, 75W</v>
      </c>
      <c r="C245" s="4" t="s">
        <v>5155</v>
      </c>
      <c r="D245" t="str">
        <f>VLOOKUP(C245,'1066'!C:E,2,0)</f>
        <v>StrongLumio napájecí zdroj plochý pro LED 24V, 75W</v>
      </c>
      <c r="E245" t="str">
        <f>VLOOKUP(C245,'1066'!C:F,3,0)</f>
        <v>StrongLumio napájecí zdroj plochý pro LED 24V, 75W</v>
      </c>
      <c r="F245" t="str">
        <f>VLOOKUP(C245,'1066'!C:G,4,0)</f>
        <v>StrongLumio napájací zdroj plochý pre LED 24V, 75W</v>
      </c>
      <c r="G245" t="str">
        <f>VLOOKUP(C245,'1066'!C:H,5,0)</f>
        <v>StrongLumio zasilacz płaski do LED 24V, 75W</v>
      </c>
      <c r="K245">
        <v>51</v>
      </c>
      <c r="L245">
        <v>75</v>
      </c>
      <c r="M245" t="str">
        <f t="shared" si="18"/>
        <v>405188</v>
      </c>
      <c r="N245" t="str">
        <f t="shared" si="19"/>
        <v>StrongLumio napájecí zdroj plochý pro LED 24V, 75W</v>
      </c>
    </row>
    <row r="246" spans="2:14" x14ac:dyDescent="0.25">
      <c r="B246" t="str">
        <f t="shared" si="17"/>
        <v>StrongLumio napájecí zdroj plochý pro LED, 24V 100W</v>
      </c>
      <c r="C246" s="4" t="s">
        <v>5156</v>
      </c>
      <c r="D246" t="str">
        <f>VLOOKUP(C246,'1066'!C:E,2,0)</f>
        <v>StrongLumio napájecí zdroj plochý pro LED, 24V 100W</v>
      </c>
      <c r="E246" t="str">
        <f>VLOOKUP(C246,'1066'!C:F,3,0)</f>
        <v>StrongLumio napájecí zdroj plochý pro LED, 24V 100W</v>
      </c>
      <c r="F246" t="str">
        <f>VLOOKUP(C246,'1066'!C:G,4,0)</f>
        <v>StrongLumio napájací zdroj plochý pre LED 24V, 100W</v>
      </c>
      <c r="G246" t="str">
        <f>VLOOKUP(C246,'1066'!C:H,5,0)</f>
        <v>StrongLumio zasilacz płaski do LED 24V, 100W</v>
      </c>
      <c r="K246">
        <v>76</v>
      </c>
      <c r="L246">
        <v>100</v>
      </c>
      <c r="M246" t="str">
        <f t="shared" si="18"/>
        <v>284624</v>
      </c>
      <c r="N246" t="str">
        <f t="shared" si="19"/>
        <v>StrongLumio napájecí zdroj plochý pro LED, 24V 100W</v>
      </c>
    </row>
    <row r="247" spans="2:14" x14ac:dyDescent="0.25">
      <c r="B247" t="str">
        <f t="shared" si="17"/>
        <v>StrongLumio napájecí zdroj plochý pro LED 24V - 150W</v>
      </c>
      <c r="C247" s="4" t="s">
        <v>5150</v>
      </c>
      <c r="D247" t="str">
        <f>VLOOKUP(C247,'1066'!C:E,2,0)</f>
        <v>StrongLumio napájecí zdroj plochý pro LED 24V - 150W</v>
      </c>
      <c r="E247" t="str">
        <f>VLOOKUP(C247,'1066'!C:F,3,0)</f>
        <v>StrongLumio napájecí zdroj plochý pro LED 24V - 150W</v>
      </c>
      <c r="F247" t="str">
        <f>VLOOKUP(C247,'1066'!C:G,4,0)</f>
        <v>StrongLumio napájací zdroj  plochý pre LED 24V – 150W</v>
      </c>
      <c r="G247" t="str">
        <f>VLOOKUP(C247,'1066'!C:H,5,0)</f>
        <v>StrongLumio płaski zasilacz do LED 24V – 150W</v>
      </c>
      <c r="K247">
        <v>101</v>
      </c>
      <c r="L247">
        <v>150</v>
      </c>
      <c r="M247" t="str">
        <f t="shared" si="18"/>
        <v>544906</v>
      </c>
      <c r="N247" t="str">
        <f t="shared" si="19"/>
        <v>StrongLumio napájecí zdroj plochý pro LED 24V - 150W</v>
      </c>
    </row>
  </sheetData>
  <mergeCells count="7">
    <mergeCell ref="K189:L189"/>
    <mergeCell ref="M189:N189"/>
    <mergeCell ref="O189:P189"/>
    <mergeCell ref="Q189:R189"/>
    <mergeCell ref="M218:N218"/>
    <mergeCell ref="O218:P218"/>
    <mergeCell ref="Q218:R218"/>
  </mergeCells>
  <phoneticPr fontId="21" type="noConversion"/>
  <conditionalFormatting sqref="A80:A99">
    <cfRule type="duplicateValues" dxfId="1" priority="61"/>
  </conditionalFormatting>
  <conditionalFormatting sqref="C80:C99">
    <cfRule type="duplicateValues" dxfId="0" priority="64"/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5F73-1959-4A38-889C-AC24B21505D0}">
  <sheetPr codeName="List10"/>
  <dimension ref="A1:O14"/>
  <sheetViews>
    <sheetView workbookViewId="0"/>
  </sheetViews>
  <sheetFormatPr defaultRowHeight="15" x14ac:dyDescent="0.25"/>
  <cols>
    <col min="1" max="1" width="12.140625" bestFit="1" customWidth="1"/>
    <col min="2" max="2" width="19.85546875" bestFit="1" customWidth="1"/>
    <col min="4" max="4" width="38.7109375" bestFit="1" customWidth="1"/>
    <col min="5" max="5" width="9.42578125" bestFit="1" customWidth="1"/>
    <col min="7" max="7" width="39.85546875" bestFit="1" customWidth="1"/>
    <col min="8" max="8" width="18.140625" customWidth="1"/>
    <col min="9" max="9" width="10" customWidth="1"/>
    <col min="10" max="10" width="39.85546875" bestFit="1" customWidth="1"/>
    <col min="13" max="13" width="15.85546875" bestFit="1" customWidth="1"/>
  </cols>
  <sheetData>
    <row r="1" spans="1:15" x14ac:dyDescent="0.25">
      <c r="A1" t="s">
        <v>42</v>
      </c>
      <c r="B1" t="str">
        <f>Překlady!$C$13</f>
        <v>rovný</v>
      </c>
      <c r="C1">
        <v>1</v>
      </c>
      <c r="G1" t="s">
        <v>774</v>
      </c>
      <c r="H1" t="s">
        <v>775</v>
      </c>
      <c r="I1" t="s">
        <v>776</v>
      </c>
      <c r="O1" t="s">
        <v>777</v>
      </c>
    </row>
    <row r="2" spans="1:15" x14ac:dyDescent="0.25">
      <c r="B2" t="str">
        <f>Překlady!$C$14</f>
        <v>rohový</v>
      </c>
      <c r="C2">
        <v>2</v>
      </c>
      <c r="G2" t="s">
        <v>134</v>
      </c>
    </row>
    <row r="3" spans="1:15" x14ac:dyDescent="0.25">
      <c r="A3" t="s">
        <v>778</v>
      </c>
      <c r="B3" t="str">
        <f>Překlady!$C$15</f>
        <v>ano</v>
      </c>
      <c r="C3">
        <v>3</v>
      </c>
      <c r="G3" t="s">
        <v>136</v>
      </c>
    </row>
    <row r="4" spans="1:15" x14ac:dyDescent="0.25">
      <c r="B4" t="str">
        <f>Překlady!$C$16</f>
        <v>ne</v>
      </c>
      <c r="C4">
        <v>4</v>
      </c>
      <c r="G4" t="s">
        <v>135</v>
      </c>
    </row>
    <row r="5" spans="1:15" x14ac:dyDescent="0.25">
      <c r="G5" t="s">
        <v>152</v>
      </c>
    </row>
    <row r="6" spans="1:15" x14ac:dyDescent="0.25">
      <c r="G6" t="s">
        <v>150</v>
      </c>
    </row>
    <row r="7" spans="1:15" x14ac:dyDescent="0.25">
      <c r="G7" t="s">
        <v>151</v>
      </c>
    </row>
    <row r="11" spans="1:15" x14ac:dyDescent="0.25">
      <c r="B11" t="str">
        <f>Překlady!$C$13</f>
        <v>rovný</v>
      </c>
      <c r="C11" t="s">
        <v>779</v>
      </c>
    </row>
    <row r="12" spans="1:15" x14ac:dyDescent="0.25">
      <c r="B12" t="str">
        <f>Překlady!$C$14</f>
        <v>rohový</v>
      </c>
      <c r="C12" t="s">
        <v>780</v>
      </c>
    </row>
    <row r="13" spans="1:15" x14ac:dyDescent="0.25">
      <c r="B13" t="str">
        <f>Překlady!$C$15</f>
        <v>ano</v>
      </c>
      <c r="C13" t="s">
        <v>781</v>
      </c>
    </row>
    <row r="14" spans="1:15" x14ac:dyDescent="0.25">
      <c r="B14" t="str">
        <f>Překlady!$C$16</f>
        <v>ne</v>
      </c>
      <c r="C14" t="s">
        <v>782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0A20-84DC-48B4-804D-BB2A86D8E521}">
  <sheetPr codeName="List11"/>
  <dimension ref="A1:AB1226"/>
  <sheetViews>
    <sheetView workbookViewId="0">
      <pane ySplit="1" topLeftCell="A215" activePane="bottomLeft" state="frozen"/>
      <selection pane="bottomLeft" activeCell="C233" sqref="C233"/>
    </sheetView>
  </sheetViews>
  <sheetFormatPr defaultRowHeight="15" x14ac:dyDescent="0.25"/>
  <cols>
    <col min="1" max="1" width="11.85546875" style="10" customWidth="1"/>
    <col min="2" max="2" width="8.85546875" style="10"/>
    <col min="4" max="4" width="62.28515625" customWidth="1"/>
    <col min="5" max="5" width="63.140625" customWidth="1"/>
    <col min="6" max="6" width="76.7109375" bestFit="1" customWidth="1"/>
    <col min="7" max="7" width="81.28515625" bestFit="1" customWidth="1"/>
    <col min="8" max="8" width="76.5703125" bestFit="1" customWidth="1"/>
    <col min="9" max="9" width="14.85546875" customWidth="1"/>
    <col min="10" max="10" width="15.7109375" bestFit="1" customWidth="1"/>
    <col min="11" max="11" width="15.5703125" bestFit="1" customWidth="1"/>
    <col min="12" max="12" width="16.140625" bestFit="1" customWidth="1"/>
    <col min="13" max="13" width="17.28515625" bestFit="1" customWidth="1"/>
    <col min="14" max="14" width="19.5703125" bestFit="1" customWidth="1"/>
    <col min="15" max="15" width="17.140625" customWidth="1"/>
    <col min="16" max="16" width="16.140625" bestFit="1" customWidth="1"/>
  </cols>
  <sheetData>
    <row r="1" spans="1:28" x14ac:dyDescent="0.25">
      <c r="A1" s="68" t="str">
        <f t="shared" ref="A1:A35" si="0">C1</f>
        <v>Kód</v>
      </c>
      <c r="B1" s="10">
        <f>Úvod!O30</f>
        <v>1</v>
      </c>
      <c r="C1" s="77" t="s">
        <v>783</v>
      </c>
      <c r="D1" s="77"/>
      <c r="E1" s="77" t="s">
        <v>6948</v>
      </c>
      <c r="F1" s="77" t="s">
        <v>785</v>
      </c>
      <c r="G1" s="77" t="s">
        <v>792</v>
      </c>
      <c r="H1" s="77" t="s">
        <v>791</v>
      </c>
      <c r="I1" s="77" t="s">
        <v>786</v>
      </c>
      <c r="J1" s="77" t="s">
        <v>6401</v>
      </c>
      <c r="K1" s="77" t="s">
        <v>6564</v>
      </c>
      <c r="L1" s="77" t="s">
        <v>210</v>
      </c>
      <c r="M1" s="77" t="s">
        <v>787</v>
      </c>
      <c r="N1" s="77" t="s">
        <v>788</v>
      </c>
      <c r="O1" s="77" t="s">
        <v>789</v>
      </c>
      <c r="P1" s="77" t="s">
        <v>790</v>
      </c>
      <c r="Q1" s="77"/>
      <c r="R1" s="77"/>
      <c r="S1" s="77"/>
      <c r="T1" s="77"/>
      <c r="U1" s="77"/>
      <c r="V1" s="77"/>
      <c r="W1" s="77"/>
      <c r="X1" s="77"/>
      <c r="Y1" s="77"/>
      <c r="Z1" s="77"/>
      <c r="AA1" s="35"/>
      <c r="AB1" s="35"/>
    </row>
    <row r="2" spans="1:28" x14ac:dyDescent="0.25">
      <c r="A2" s="68" t="str">
        <f t="shared" si="0"/>
        <v>515496</v>
      </c>
      <c r="B2" s="10">
        <f>IF($B$1=1,M2,IF($B$1=2,N2,IF($B$1=3,O2,IF($B$1=4,P2))))</f>
        <v>467.03318999999999</v>
      </c>
      <c r="C2" s="77" t="s">
        <v>4695</v>
      </c>
      <c r="D2" s="191" t="str">
        <f>IF($B$1=1,E2,IF($B$1=2,F2,IF($B$1=3,G2,IF($B$1=4,H2))))</f>
        <v>BLN24 LED panel 24W kulatý 300mm, denní bílá</v>
      </c>
      <c r="E2" s="77" t="s">
        <v>793</v>
      </c>
      <c r="F2" s="77" t="s">
        <v>794</v>
      </c>
      <c r="G2" s="77" t="s">
        <v>794</v>
      </c>
      <c r="H2" s="77" t="s">
        <v>794</v>
      </c>
      <c r="I2" s="77" t="s">
        <v>795</v>
      </c>
      <c r="J2" s="90">
        <v>5</v>
      </c>
      <c r="K2" s="91">
        <v>1</v>
      </c>
      <c r="L2" s="77" t="s">
        <v>6565</v>
      </c>
      <c r="M2" s="78">
        <v>467.03318999999999</v>
      </c>
      <c r="N2" s="79">
        <v>19.906320000000001</v>
      </c>
      <c r="O2" s="79">
        <v>62.083799999999997</v>
      </c>
      <c r="P2" s="79">
        <v>7076.2604600000004</v>
      </c>
      <c r="Q2" s="77"/>
      <c r="R2" s="77"/>
      <c r="S2" s="77"/>
      <c r="T2" s="77"/>
      <c r="U2" s="77"/>
      <c r="V2" s="87"/>
      <c r="W2" s="87"/>
      <c r="X2" s="87"/>
      <c r="Y2" s="77"/>
      <c r="Z2" s="88"/>
      <c r="AA2" s="35"/>
      <c r="AB2" s="35"/>
    </row>
    <row r="3" spans="1:28" x14ac:dyDescent="0.25">
      <c r="A3" s="68" t="str">
        <f t="shared" si="0"/>
        <v>515499</v>
      </c>
      <c r="B3" s="10">
        <f t="shared" ref="B3:B35" si="1">IF($B$1=1,M3,IF($B$1=2,N3,IF($B$1=3,O3,IF($B$1=4,P3))))</f>
        <v>154.63634999999999</v>
      </c>
      <c r="C3" s="77" t="s">
        <v>4696</v>
      </c>
      <c r="D3" s="191" t="str">
        <f t="shared" ref="D3:D66" si="2">IF($B$1=1,E3,IF($B$1=2,F3,IF($B$1=3,G3,IF($B$1=4,H3))))</f>
        <v>BLN6 LED panel 6W kulatý 120mm, denní bílá</v>
      </c>
      <c r="E3" s="77" t="s">
        <v>796</v>
      </c>
      <c r="F3" s="77" t="s">
        <v>794</v>
      </c>
      <c r="G3" s="77" t="s">
        <v>794</v>
      </c>
      <c r="H3" s="77" t="s">
        <v>794</v>
      </c>
      <c r="I3" s="77" t="s">
        <v>795</v>
      </c>
      <c r="J3" s="90">
        <v>5</v>
      </c>
      <c r="K3" s="91">
        <v>1</v>
      </c>
      <c r="L3" s="77" t="s">
        <v>6565</v>
      </c>
      <c r="M3" s="78">
        <v>154.63634999999999</v>
      </c>
      <c r="N3" s="79">
        <v>6.5910599999999997</v>
      </c>
      <c r="O3" s="79">
        <v>20.556159999999998</v>
      </c>
      <c r="P3" s="79">
        <v>2342.9750100000001</v>
      </c>
      <c r="Q3" s="77"/>
      <c r="R3" s="77"/>
      <c r="S3" s="77"/>
      <c r="T3" s="77"/>
      <c r="U3" s="77"/>
      <c r="V3" s="87"/>
      <c r="W3" s="87"/>
      <c r="X3" s="87"/>
      <c r="Y3" s="77"/>
      <c r="Z3" s="88"/>
      <c r="AA3" s="35"/>
      <c r="AB3" s="35"/>
    </row>
    <row r="4" spans="1:28" x14ac:dyDescent="0.25">
      <c r="A4" s="68" t="str">
        <f t="shared" si="0"/>
        <v>529705</v>
      </c>
      <c r="B4" s="10">
        <f t="shared" si="1"/>
        <v>232.72200000000001</v>
      </c>
      <c r="C4" s="77" t="s">
        <v>4697</v>
      </c>
      <c r="D4" s="191" t="str">
        <f t="shared" si="2"/>
        <v>BSN12 LED panel 12W černý čtverec, denní bílá</v>
      </c>
      <c r="E4" s="77" t="s">
        <v>797</v>
      </c>
      <c r="F4" s="77" t="s">
        <v>794</v>
      </c>
      <c r="G4" s="77" t="s">
        <v>794</v>
      </c>
      <c r="H4" s="77" t="s">
        <v>794</v>
      </c>
      <c r="I4" s="77" t="s">
        <v>795</v>
      </c>
      <c r="J4" s="90">
        <v>1</v>
      </c>
      <c r="K4" s="91">
        <v>1</v>
      </c>
      <c r="L4" s="77" t="s">
        <v>6565</v>
      </c>
      <c r="M4" s="78">
        <v>232.72200000000001</v>
      </c>
      <c r="N4" s="79">
        <v>9.9193099999999994</v>
      </c>
      <c r="O4" s="79">
        <v>30.22364</v>
      </c>
      <c r="P4" s="79">
        <v>3526.0909000000001</v>
      </c>
      <c r="Q4" s="77"/>
      <c r="R4" s="77"/>
      <c r="S4" s="77"/>
      <c r="T4" s="77"/>
      <c r="U4" s="77"/>
      <c r="V4" s="87"/>
      <c r="W4" s="87"/>
      <c r="X4" s="87"/>
      <c r="Y4" s="77"/>
      <c r="Z4" s="88"/>
      <c r="AA4" s="35"/>
      <c r="AB4" s="35"/>
    </row>
    <row r="5" spans="1:28" x14ac:dyDescent="0.25">
      <c r="A5" s="68" t="str">
        <f t="shared" si="0"/>
        <v>362814</v>
      </c>
      <c r="B5" s="10">
        <f t="shared" si="1"/>
        <v>597.303</v>
      </c>
      <c r="C5" s="77" t="s">
        <v>4698</v>
      </c>
      <c r="D5" s="191" t="str">
        <f t="shared" si="2"/>
        <v>DL dvojzásuvka Schuko Corner Box 2 alu</v>
      </c>
      <c r="E5" s="77" t="s">
        <v>798</v>
      </c>
      <c r="F5" s="77" t="s">
        <v>798</v>
      </c>
      <c r="G5" s="77" t="s">
        <v>794</v>
      </c>
      <c r="H5" s="77" t="s">
        <v>799</v>
      </c>
      <c r="I5" s="77" t="s">
        <v>795</v>
      </c>
      <c r="J5" s="90">
        <v>10</v>
      </c>
      <c r="K5" s="91">
        <v>5</v>
      </c>
      <c r="L5" s="77" t="s">
        <v>6565</v>
      </c>
      <c r="M5" s="78">
        <v>597.303</v>
      </c>
      <c r="N5" s="79">
        <v>24.897600000000001</v>
      </c>
      <c r="O5" s="79">
        <v>75.861819999999994</v>
      </c>
      <c r="P5" s="79">
        <v>9050.0454499999996</v>
      </c>
      <c r="Q5" s="77"/>
      <c r="R5" s="77"/>
      <c r="S5" s="77"/>
      <c r="T5" s="77"/>
      <c r="U5" s="77"/>
      <c r="V5" s="87"/>
      <c r="W5" s="87"/>
      <c r="X5" s="87"/>
      <c r="Y5" s="77"/>
      <c r="Z5" s="88"/>
      <c r="AA5" s="35"/>
      <c r="AB5" s="35"/>
    </row>
    <row r="6" spans="1:28" x14ac:dyDescent="0.25">
      <c r="A6" s="68" t="str">
        <f t="shared" si="0"/>
        <v>365878</v>
      </c>
      <c r="B6" s="10">
        <f t="shared" si="1"/>
        <v>520.79999999999995</v>
      </c>
      <c r="C6" s="77" t="s">
        <v>4699</v>
      </c>
      <c r="D6" s="191" t="str">
        <f t="shared" si="2"/>
        <v>Dotykový / podpovrchový vypínač se stmívačem 12/24V</v>
      </c>
      <c r="E6" s="77" t="s">
        <v>800</v>
      </c>
      <c r="F6" s="77" t="s">
        <v>801</v>
      </c>
      <c r="G6" s="77" t="s">
        <v>794</v>
      </c>
      <c r="H6" s="77" t="s">
        <v>802</v>
      </c>
      <c r="I6" s="77" t="s">
        <v>795</v>
      </c>
      <c r="J6" s="90">
        <v>1</v>
      </c>
      <c r="K6" s="91">
        <v>1</v>
      </c>
      <c r="L6" s="77" t="s">
        <v>160</v>
      </c>
      <c r="M6" s="78">
        <v>520.79999999999995</v>
      </c>
      <c r="N6" s="79">
        <v>22.297139999999999</v>
      </c>
      <c r="O6" s="79">
        <v>73.543700000000001</v>
      </c>
      <c r="P6" s="79">
        <v>0</v>
      </c>
      <c r="Q6" s="77"/>
      <c r="R6" s="77"/>
      <c r="S6" s="77"/>
      <c r="T6" s="77"/>
      <c r="U6" s="77"/>
      <c r="V6" s="87"/>
      <c r="W6" s="87"/>
      <c r="X6" s="87"/>
      <c r="Y6" s="77"/>
      <c r="Z6" s="88"/>
      <c r="AA6" s="35"/>
      <c r="AB6" s="35"/>
    </row>
    <row r="7" spans="1:28" x14ac:dyDescent="0.25">
      <c r="A7" s="68" t="str">
        <f t="shared" si="0"/>
        <v>364710</v>
      </c>
      <c r="B7" s="10">
        <f t="shared" si="1"/>
        <v>63.84</v>
      </c>
      <c r="C7" s="77" t="s">
        <v>4700</v>
      </c>
      <c r="D7" s="191" t="str">
        <f t="shared" si="2"/>
        <v>Flexo s volným koncem 2x0,5mm 2m černá</v>
      </c>
      <c r="E7" s="77" t="s">
        <v>803</v>
      </c>
      <c r="F7" s="77" t="s">
        <v>804</v>
      </c>
      <c r="G7" s="77" t="s">
        <v>794</v>
      </c>
      <c r="H7" s="77" t="s">
        <v>805</v>
      </c>
      <c r="I7" s="77" t="s">
        <v>795</v>
      </c>
      <c r="J7" s="90">
        <v>1</v>
      </c>
      <c r="K7" s="91">
        <v>1</v>
      </c>
      <c r="L7" s="77" t="s">
        <v>6565</v>
      </c>
      <c r="M7" s="78">
        <v>63.84</v>
      </c>
      <c r="N7" s="79">
        <v>2.7332100000000001</v>
      </c>
      <c r="O7" s="79">
        <v>9.4749400000000001</v>
      </c>
      <c r="P7" s="79">
        <v>942.44318999999996</v>
      </c>
      <c r="Q7" s="77"/>
      <c r="R7" s="77"/>
      <c r="S7" s="77"/>
      <c r="T7" s="77"/>
      <c r="U7" s="77"/>
      <c r="V7" s="87"/>
      <c r="W7" s="87"/>
      <c r="X7" s="87"/>
      <c r="Y7" s="77"/>
      <c r="Z7" s="88"/>
      <c r="AA7" s="35"/>
      <c r="AB7" s="35"/>
    </row>
    <row r="8" spans="1:28" x14ac:dyDescent="0.25">
      <c r="A8" s="68" t="str">
        <f t="shared" si="0"/>
        <v>393806</v>
      </c>
      <c r="B8" s="10">
        <f t="shared" si="1"/>
        <v>4.7249999999999996</v>
      </c>
      <c r="C8" s="77" t="s">
        <v>4701</v>
      </c>
      <c r="D8" s="191" t="str">
        <f t="shared" si="2"/>
        <v>HA-Baterie TINKO LR44 (AG13,357A,LR1154,GP357) alkalická</v>
      </c>
      <c r="E8" s="77" t="s">
        <v>806</v>
      </c>
      <c r="F8" s="77" t="s">
        <v>807</v>
      </c>
      <c r="G8" s="77" t="s">
        <v>809</v>
      </c>
      <c r="H8" s="77" t="s">
        <v>808</v>
      </c>
      <c r="I8" s="77" t="s">
        <v>795</v>
      </c>
      <c r="J8" s="90">
        <v>10</v>
      </c>
      <c r="K8" s="91">
        <v>10</v>
      </c>
      <c r="L8" s="77" t="s">
        <v>6565</v>
      </c>
      <c r="M8" s="78">
        <v>4.7249999999999996</v>
      </c>
      <c r="N8" s="79">
        <v>0.2014</v>
      </c>
      <c r="O8" s="79">
        <v>0.61363999999999996</v>
      </c>
      <c r="P8" s="79">
        <v>71.590900000000005</v>
      </c>
      <c r="Q8" s="77"/>
      <c r="R8" s="77"/>
      <c r="S8" s="77"/>
      <c r="T8" s="77"/>
      <c r="U8" s="77"/>
      <c r="V8" s="87"/>
      <c r="W8" s="87"/>
      <c r="X8" s="87"/>
      <c r="Y8" s="77"/>
      <c r="Z8" s="88"/>
      <c r="AA8" s="35"/>
      <c r="AB8" s="35"/>
    </row>
    <row r="9" spans="1:28" x14ac:dyDescent="0.25">
      <c r="A9" s="68" t="str">
        <f t="shared" si="0"/>
        <v>552673</v>
      </c>
      <c r="B9" s="10">
        <f t="shared" si="1"/>
        <v>1375.7940000000001</v>
      </c>
      <c r="C9" s="77" t="s">
        <v>4702</v>
      </c>
      <c r="D9" s="191" t="str">
        <f t="shared" si="2"/>
        <v>HAL - LED pásek Versa Fix 4x6mm 12V 6W/m 1200mm teplá bílá</v>
      </c>
      <c r="E9" s="77" t="s">
        <v>810</v>
      </c>
      <c r="F9" s="77" t="s">
        <v>794</v>
      </c>
      <c r="G9" s="77" t="s">
        <v>794</v>
      </c>
      <c r="H9" s="77" t="s">
        <v>794</v>
      </c>
      <c r="I9" s="77" t="s">
        <v>795</v>
      </c>
      <c r="J9" s="90">
        <v>10</v>
      </c>
      <c r="K9" s="91">
        <v>1</v>
      </c>
      <c r="L9" s="77" t="s">
        <v>6565</v>
      </c>
      <c r="M9" s="78">
        <v>1375.7940000000001</v>
      </c>
      <c r="N9" s="79">
        <v>58.6404</v>
      </c>
      <c r="O9" s="79">
        <v>0</v>
      </c>
      <c r="P9" s="79">
        <v>0</v>
      </c>
      <c r="Q9" s="77"/>
      <c r="R9" s="77"/>
      <c r="S9" s="77"/>
      <c r="T9" s="77"/>
      <c r="U9" s="77"/>
      <c r="V9" s="87"/>
      <c r="W9" s="87"/>
      <c r="X9" s="87"/>
      <c r="Y9" s="77"/>
      <c r="Z9" s="88"/>
      <c r="AA9" s="35"/>
      <c r="AB9" s="35"/>
    </row>
    <row r="10" spans="1:28" x14ac:dyDescent="0.25">
      <c r="A10" s="68" t="str">
        <f t="shared" si="0"/>
        <v>552674</v>
      </c>
      <c r="B10" s="10">
        <f t="shared" si="1"/>
        <v>2546.3717999999999</v>
      </c>
      <c r="C10" s="77" t="s">
        <v>4703</v>
      </c>
      <c r="D10" s="191" t="str">
        <f t="shared" si="2"/>
        <v>HAL - LED pásek Versa Fix 4x6mm 12V 6W/m 3000mm teplá bílá</v>
      </c>
      <c r="E10" s="77" t="s">
        <v>811</v>
      </c>
      <c r="F10" s="77" t="s">
        <v>794</v>
      </c>
      <c r="G10" s="77" t="s">
        <v>794</v>
      </c>
      <c r="H10" s="77" t="s">
        <v>794</v>
      </c>
      <c r="I10" s="77" t="s">
        <v>795</v>
      </c>
      <c r="J10" s="90">
        <v>10</v>
      </c>
      <c r="K10" s="91">
        <v>1</v>
      </c>
      <c r="L10" s="77" t="s">
        <v>6565</v>
      </c>
      <c r="M10" s="78">
        <v>2546.3717999999999</v>
      </c>
      <c r="N10" s="79">
        <v>108.53388</v>
      </c>
      <c r="O10" s="79">
        <v>0</v>
      </c>
      <c r="P10" s="79">
        <v>0</v>
      </c>
      <c r="Q10" s="77"/>
      <c r="R10" s="77"/>
      <c r="S10" s="77"/>
      <c r="T10" s="77"/>
      <c r="U10" s="77"/>
      <c r="V10" s="87"/>
      <c r="W10" s="87"/>
      <c r="X10" s="87"/>
      <c r="Y10" s="77"/>
      <c r="Z10" s="88"/>
      <c r="AA10" s="35"/>
      <c r="AB10" s="35"/>
    </row>
    <row r="11" spans="1:28" x14ac:dyDescent="0.25">
      <c r="A11" s="68" t="str">
        <f t="shared" si="0"/>
        <v>292938</v>
      </c>
      <c r="B11" s="10">
        <f t="shared" si="1"/>
        <v>493.5609</v>
      </c>
      <c r="C11" s="77" t="s">
        <v>4704</v>
      </c>
      <c r="D11" s="191" t="str">
        <f t="shared" si="2"/>
        <v>HAL dodatkový vysílač IR signálu</v>
      </c>
      <c r="E11" s="77" t="s">
        <v>812</v>
      </c>
      <c r="F11" s="77" t="s">
        <v>813</v>
      </c>
      <c r="G11" s="77" t="s">
        <v>815</v>
      </c>
      <c r="H11" s="77" t="s">
        <v>814</v>
      </c>
      <c r="I11" s="77" t="s">
        <v>795</v>
      </c>
      <c r="J11" s="90">
        <v>10</v>
      </c>
      <c r="K11" s="91">
        <v>1</v>
      </c>
      <c r="L11" s="77" t="s">
        <v>227</v>
      </c>
      <c r="M11" s="78">
        <v>493.5609</v>
      </c>
      <c r="N11" s="79">
        <v>20.57328</v>
      </c>
      <c r="O11" s="79">
        <v>65.452020000000005</v>
      </c>
      <c r="P11" s="79">
        <v>7478.1954500000002</v>
      </c>
      <c r="Q11" s="77"/>
      <c r="R11" s="77"/>
      <c r="S11" s="77"/>
      <c r="T11" s="77"/>
      <c r="U11" s="77"/>
      <c r="V11" s="87"/>
      <c r="W11" s="87"/>
      <c r="X11" s="87"/>
      <c r="Y11" s="77"/>
      <c r="Z11" s="88"/>
      <c r="AA11" s="35"/>
      <c r="AB11" s="35"/>
    </row>
    <row r="12" spans="1:28" x14ac:dyDescent="0.25">
      <c r="A12" s="68" t="str">
        <f t="shared" si="0"/>
        <v>526578</v>
      </c>
      <c r="B12" s="10">
        <f t="shared" si="1"/>
        <v>751.34429999999998</v>
      </c>
      <c r="C12" s="77" t="s">
        <v>4705</v>
      </c>
      <c r="D12" s="191" t="str">
        <f t="shared" si="2"/>
        <v>HAL LED bodovka LitePanel 68 12V 4,3W broušená nerez multiwhite</v>
      </c>
      <c r="E12" s="77" t="s">
        <v>816</v>
      </c>
      <c r="F12" s="77" t="s">
        <v>817</v>
      </c>
      <c r="G12" s="77" t="s">
        <v>818</v>
      </c>
      <c r="H12" s="77" t="s">
        <v>794</v>
      </c>
      <c r="I12" s="77" t="s">
        <v>795</v>
      </c>
      <c r="J12" s="90">
        <v>10</v>
      </c>
      <c r="K12" s="91">
        <v>1</v>
      </c>
      <c r="L12" s="77" t="s">
        <v>6565</v>
      </c>
      <c r="M12" s="78">
        <v>751.34429999999998</v>
      </c>
      <c r="N12" s="79">
        <v>31.318560000000002</v>
      </c>
      <c r="O12" s="79">
        <v>95.426180000000002</v>
      </c>
      <c r="P12" s="79">
        <v>11384.00455</v>
      </c>
      <c r="Q12" s="77"/>
      <c r="R12" s="77"/>
      <c r="S12" s="77"/>
      <c r="T12" s="77"/>
      <c r="U12" s="77"/>
      <c r="V12" s="87"/>
      <c r="W12" s="87"/>
      <c r="X12" s="87"/>
      <c r="Y12" s="77"/>
      <c r="Z12" s="88"/>
      <c r="AA12" s="35"/>
      <c r="AB12" s="35"/>
    </row>
    <row r="13" spans="1:28" x14ac:dyDescent="0.25">
      <c r="A13" s="68" t="str">
        <f t="shared" si="0"/>
        <v>405194</v>
      </c>
      <c r="B13" s="10">
        <f t="shared" si="1"/>
        <v>2261.8921500000001</v>
      </c>
      <c r="C13" s="77" t="s">
        <v>4706</v>
      </c>
      <c r="D13" s="191" t="str">
        <f t="shared" si="2"/>
        <v>HAL LuckyLine LED sada včetně pohybových senzorů bílá studená</v>
      </c>
      <c r="E13" s="77" t="s">
        <v>819</v>
      </c>
      <c r="F13" s="77" t="s">
        <v>820</v>
      </c>
      <c r="G13" s="77" t="s">
        <v>822</v>
      </c>
      <c r="H13" s="77" t="s">
        <v>821</v>
      </c>
      <c r="I13" s="77" t="s">
        <v>795</v>
      </c>
      <c r="J13" s="90">
        <v>10</v>
      </c>
      <c r="K13" s="91">
        <v>1</v>
      </c>
      <c r="L13" s="77" t="s">
        <v>227</v>
      </c>
      <c r="M13" s="78">
        <v>2261.8921500000001</v>
      </c>
      <c r="N13" s="79">
        <v>94.283280000000005</v>
      </c>
      <c r="O13" s="79">
        <v>292.61774000000003</v>
      </c>
      <c r="P13" s="79">
        <v>34271.09319</v>
      </c>
      <c r="Q13" s="77"/>
      <c r="R13" s="77"/>
      <c r="S13" s="77"/>
      <c r="T13" s="77"/>
      <c r="U13" s="77"/>
      <c r="V13" s="87"/>
      <c r="W13" s="87"/>
      <c r="X13" s="87"/>
      <c r="Y13" s="77"/>
      <c r="Z13" s="88"/>
      <c r="AA13" s="35"/>
      <c r="AB13" s="35"/>
    </row>
    <row r="14" spans="1:28" x14ac:dyDescent="0.25">
      <c r="A14" s="68" t="str">
        <f t="shared" si="0"/>
        <v>404527</v>
      </c>
      <c r="B14" s="10">
        <f t="shared" si="1"/>
        <v>2261.8921500000001</v>
      </c>
      <c r="C14" s="77" t="s">
        <v>4707</v>
      </c>
      <c r="D14" s="191" t="str">
        <f t="shared" si="2"/>
        <v>HAL LuckyLine LED sada včetně pohybových senzorů bílá teplá</v>
      </c>
      <c r="E14" s="77" t="s">
        <v>823</v>
      </c>
      <c r="F14" s="77" t="s">
        <v>824</v>
      </c>
      <c r="G14" s="77" t="s">
        <v>826</v>
      </c>
      <c r="H14" s="77" t="s">
        <v>825</v>
      </c>
      <c r="I14" s="77" t="s">
        <v>795</v>
      </c>
      <c r="J14" s="90">
        <v>10</v>
      </c>
      <c r="K14" s="91">
        <v>1</v>
      </c>
      <c r="L14" s="77" t="s">
        <v>227</v>
      </c>
      <c r="M14" s="78">
        <v>2261.8921500000001</v>
      </c>
      <c r="N14" s="79">
        <v>94.283280000000005</v>
      </c>
      <c r="O14" s="79">
        <v>287.27672000000001</v>
      </c>
      <c r="P14" s="79">
        <v>34271.09319</v>
      </c>
      <c r="Q14" s="77"/>
      <c r="R14" s="77"/>
      <c r="S14" s="77"/>
      <c r="T14" s="77"/>
      <c r="U14" s="77"/>
      <c r="V14" s="87"/>
      <c r="W14" s="87"/>
      <c r="X14" s="87"/>
      <c r="Y14" s="77"/>
      <c r="Z14" s="88"/>
      <c r="AA14" s="35"/>
      <c r="AB14" s="35"/>
    </row>
    <row r="15" spans="1:28" x14ac:dyDescent="0.25">
      <c r="A15" s="68" t="str">
        <f t="shared" si="0"/>
        <v>467280</v>
      </c>
      <c r="B15" s="10">
        <f t="shared" si="1"/>
        <v>1407.59169</v>
      </c>
      <c r="C15" s="77" t="s">
        <v>4708</v>
      </c>
      <c r="D15" s="191" t="str">
        <f t="shared" si="2"/>
        <v>HAL Master jednotka 500W 230V new</v>
      </c>
      <c r="E15" s="77" t="s">
        <v>827</v>
      </c>
      <c r="F15" s="77" t="s">
        <v>827</v>
      </c>
      <c r="G15" s="77" t="s">
        <v>6402</v>
      </c>
      <c r="H15" s="77" t="s">
        <v>828</v>
      </c>
      <c r="I15" s="77" t="s">
        <v>795</v>
      </c>
      <c r="J15" s="90">
        <v>10</v>
      </c>
      <c r="K15" s="91">
        <v>1</v>
      </c>
      <c r="L15" s="77" t="s">
        <v>227</v>
      </c>
      <c r="M15" s="78">
        <v>1407.59169</v>
      </c>
      <c r="N15" s="79">
        <v>58.673160000000003</v>
      </c>
      <c r="O15" s="79">
        <v>181.35004000000001</v>
      </c>
      <c r="P15" s="79">
        <v>21327.146820000002</v>
      </c>
      <c r="Q15" s="77"/>
      <c r="R15" s="77"/>
      <c r="S15" s="77"/>
      <c r="T15" s="77"/>
      <c r="U15" s="77"/>
      <c r="V15" s="87"/>
      <c r="W15" s="87"/>
      <c r="X15" s="87"/>
      <c r="Y15" s="77"/>
      <c r="Z15" s="88"/>
      <c r="AA15" s="35"/>
      <c r="AB15" s="35"/>
    </row>
    <row r="16" spans="1:28" x14ac:dyDescent="0.25">
      <c r="A16" s="68" t="str">
        <f t="shared" si="0"/>
        <v>557348</v>
      </c>
      <c r="B16" s="10">
        <f t="shared" si="1"/>
        <v>487.29239999999999</v>
      </c>
      <c r="C16" s="77" t="s">
        <v>6403</v>
      </c>
      <c r="D16" s="191" t="str">
        <f t="shared" si="2"/>
        <v>HAL MultiSwitch contact dveřní vypínač k jednotce Master k zafrézování 8mm černý</v>
      </c>
      <c r="E16" s="77" t="s">
        <v>6404</v>
      </c>
      <c r="F16" s="77" t="s">
        <v>6405</v>
      </c>
      <c r="G16" s="77" t="s">
        <v>6406</v>
      </c>
      <c r="H16" s="77" t="s">
        <v>831</v>
      </c>
      <c r="I16" s="77" t="s">
        <v>795</v>
      </c>
      <c r="J16" s="90">
        <v>10</v>
      </c>
      <c r="K16" s="91">
        <v>1</v>
      </c>
      <c r="L16" s="77" t="s">
        <v>6565</v>
      </c>
      <c r="M16" s="78">
        <v>487.29239999999999</v>
      </c>
      <c r="N16" s="79">
        <v>20.769839999999999</v>
      </c>
      <c r="O16" s="79">
        <v>63.28472</v>
      </c>
      <c r="P16" s="79">
        <v>7084.2093599999998</v>
      </c>
      <c r="Q16" s="77"/>
      <c r="R16" s="77"/>
      <c r="S16" s="77"/>
      <c r="T16" s="77"/>
      <c r="U16" s="77"/>
      <c r="V16" s="87"/>
      <c r="W16" s="87"/>
      <c r="X16" s="87"/>
      <c r="Y16" s="77"/>
      <c r="Z16" s="88"/>
      <c r="AA16" s="35"/>
      <c r="AB16" s="35"/>
    </row>
    <row r="17" spans="1:28" x14ac:dyDescent="0.25">
      <c r="A17" s="68" t="str">
        <f t="shared" si="0"/>
        <v>539504</v>
      </c>
      <c r="B17" s="10">
        <f t="shared" si="1"/>
        <v>466.83945</v>
      </c>
      <c r="C17" s="77" t="s">
        <v>4709</v>
      </c>
      <c r="D17" s="191" t="str">
        <f t="shared" si="2"/>
        <v>HAL MultiSwitch contact dveřní vypínač k jednotce Master k zafrézování 8mm stříb</v>
      </c>
      <c r="E17" s="77" t="s">
        <v>829</v>
      </c>
      <c r="F17" s="77" t="s">
        <v>830</v>
      </c>
      <c r="G17" s="77" t="s">
        <v>832</v>
      </c>
      <c r="H17" s="77" t="s">
        <v>831</v>
      </c>
      <c r="I17" s="77" t="s">
        <v>795</v>
      </c>
      <c r="J17" s="90">
        <v>10</v>
      </c>
      <c r="K17" s="91">
        <v>1</v>
      </c>
      <c r="L17" s="77" t="s">
        <v>227</v>
      </c>
      <c r="M17" s="78">
        <v>466.83945</v>
      </c>
      <c r="N17" s="79">
        <v>19.459440000000001</v>
      </c>
      <c r="O17" s="79">
        <v>60.28848</v>
      </c>
      <c r="P17" s="79">
        <v>7073.3249999999998</v>
      </c>
      <c r="Q17" s="77"/>
      <c r="R17" s="77"/>
      <c r="S17" s="77"/>
      <c r="T17" s="77"/>
      <c r="U17" s="77"/>
      <c r="V17" s="87"/>
      <c r="W17" s="87"/>
      <c r="X17" s="87"/>
      <c r="Y17" s="77"/>
      <c r="Z17" s="88"/>
      <c r="AA17" s="35"/>
      <c r="AB17" s="35"/>
    </row>
    <row r="18" spans="1:28" x14ac:dyDescent="0.25">
      <c r="A18" s="68" t="str">
        <f t="shared" si="0"/>
        <v>467276</v>
      </c>
      <c r="B18" s="10">
        <f t="shared" si="1"/>
        <v>521.06829000000005</v>
      </c>
      <c r="C18" s="77" t="s">
        <v>4710</v>
      </c>
      <c r="D18" s="191" t="str">
        <f t="shared" si="2"/>
        <v>HAL MultiSwitch dveřní/bezdotykový vyp. k jednotce Master povrchový new,stříbrná</v>
      </c>
      <c r="E18" s="77" t="s">
        <v>833</v>
      </c>
      <c r="F18" s="77" t="s">
        <v>834</v>
      </c>
      <c r="G18" s="77" t="s">
        <v>836</v>
      </c>
      <c r="H18" s="77" t="s">
        <v>835</v>
      </c>
      <c r="I18" s="77" t="s">
        <v>795</v>
      </c>
      <c r="J18" s="90">
        <v>10</v>
      </c>
      <c r="K18" s="91">
        <v>1</v>
      </c>
      <c r="L18" s="77" t="s">
        <v>227</v>
      </c>
      <c r="M18" s="78">
        <v>521.06829000000005</v>
      </c>
      <c r="N18" s="79">
        <v>21.71988</v>
      </c>
      <c r="O18" s="79">
        <v>67.31962</v>
      </c>
      <c r="P18" s="79">
        <v>7894.97408</v>
      </c>
      <c r="Q18" s="77"/>
      <c r="R18" s="77"/>
      <c r="S18" s="77"/>
      <c r="T18" s="77"/>
      <c r="U18" s="77"/>
      <c r="V18" s="87"/>
      <c r="W18" s="87"/>
      <c r="X18" s="87"/>
      <c r="Y18" s="77"/>
      <c r="Z18" s="88"/>
      <c r="AA18" s="35"/>
      <c r="AB18" s="35"/>
    </row>
    <row r="19" spans="1:28" x14ac:dyDescent="0.25">
      <c r="A19" s="68" t="str">
        <f t="shared" si="0"/>
        <v>536852</v>
      </c>
      <c r="B19" s="10">
        <f t="shared" si="1"/>
        <v>755.27394000000004</v>
      </c>
      <c r="C19" s="77" t="s">
        <v>4711</v>
      </c>
      <c r="D19" s="191" t="str">
        <f t="shared" si="2"/>
        <v>HAL MultiSwitch MagicSwitch podpovrchový vypínač k jednotce Master new</v>
      </c>
      <c r="E19" s="77" t="s">
        <v>837</v>
      </c>
      <c r="F19" s="77" t="s">
        <v>838</v>
      </c>
      <c r="G19" s="77" t="s">
        <v>840</v>
      </c>
      <c r="H19" s="77" t="s">
        <v>839</v>
      </c>
      <c r="I19" s="77" t="s">
        <v>795</v>
      </c>
      <c r="J19" s="90">
        <v>10</v>
      </c>
      <c r="K19" s="91">
        <v>1</v>
      </c>
      <c r="L19" s="77" t="s">
        <v>227</v>
      </c>
      <c r="M19" s="78">
        <v>755.27394000000004</v>
      </c>
      <c r="N19" s="79">
        <v>31.48236</v>
      </c>
      <c r="O19" s="79">
        <v>97.328140000000005</v>
      </c>
      <c r="P19" s="79">
        <v>11443.54456</v>
      </c>
      <c r="Q19" s="77"/>
      <c r="R19" s="77"/>
      <c r="S19" s="77"/>
      <c r="T19" s="77"/>
      <c r="U19" s="77"/>
      <c r="V19" s="87"/>
      <c r="W19" s="87"/>
      <c r="X19" s="87"/>
      <c r="Y19" s="77"/>
      <c r="Z19" s="88"/>
      <c r="AA19" s="35"/>
      <c r="AB19" s="35"/>
    </row>
    <row r="20" spans="1:28" x14ac:dyDescent="0.25">
      <c r="A20" s="68" t="str">
        <f t="shared" si="0"/>
        <v>467291</v>
      </c>
      <c r="B20" s="10">
        <f t="shared" si="1"/>
        <v>807.93089999999995</v>
      </c>
      <c r="C20" s="77" t="s">
        <v>4712</v>
      </c>
      <c r="D20" s="191" t="str">
        <f t="shared" si="2"/>
        <v>HAL MultiSwitch PIR vypínač k jednotce Master new, stříbrná</v>
      </c>
      <c r="E20" s="77" t="s">
        <v>841</v>
      </c>
      <c r="F20" s="77" t="s">
        <v>842</v>
      </c>
      <c r="G20" s="77" t="s">
        <v>844</v>
      </c>
      <c r="H20" s="77" t="s">
        <v>843</v>
      </c>
      <c r="I20" s="77" t="s">
        <v>795</v>
      </c>
      <c r="J20" s="90">
        <v>10</v>
      </c>
      <c r="K20" s="91">
        <v>1</v>
      </c>
      <c r="L20" s="77" t="s">
        <v>227</v>
      </c>
      <c r="M20" s="78">
        <v>807.93089999999995</v>
      </c>
      <c r="N20" s="79">
        <v>33.677280000000003</v>
      </c>
      <c r="O20" s="79">
        <v>103.66752</v>
      </c>
      <c r="P20" s="79">
        <v>12241.37729</v>
      </c>
      <c r="Q20" s="77"/>
      <c r="R20" s="77"/>
      <c r="S20" s="77"/>
      <c r="T20" s="77"/>
      <c r="U20" s="77"/>
      <c r="V20" s="87"/>
      <c r="W20" s="87"/>
      <c r="X20" s="87"/>
      <c r="Y20" s="77"/>
      <c r="Z20" s="88"/>
      <c r="AA20" s="35"/>
      <c r="AB20" s="35"/>
    </row>
    <row r="21" spans="1:28" x14ac:dyDescent="0.25">
      <c r="A21" s="68" t="str">
        <f t="shared" si="0"/>
        <v>467281</v>
      </c>
      <c r="B21" s="10">
        <f t="shared" si="1"/>
        <v>376.45809000000003</v>
      </c>
      <c r="C21" s="77" t="s">
        <v>4713</v>
      </c>
      <c r="D21" s="191" t="str">
        <f t="shared" si="2"/>
        <v>HAL MultiSwitch push button vypínač k jednotce Master new</v>
      </c>
      <c r="E21" s="77" t="s">
        <v>845</v>
      </c>
      <c r="F21" s="77" t="s">
        <v>846</v>
      </c>
      <c r="G21" s="77" t="s">
        <v>848</v>
      </c>
      <c r="H21" s="77" t="s">
        <v>847</v>
      </c>
      <c r="I21" s="77" t="s">
        <v>795</v>
      </c>
      <c r="J21" s="90">
        <v>10</v>
      </c>
      <c r="K21" s="91">
        <v>1</v>
      </c>
      <c r="L21" s="77" t="s">
        <v>227</v>
      </c>
      <c r="M21" s="78">
        <v>376.45809000000003</v>
      </c>
      <c r="N21" s="79">
        <v>15.69204</v>
      </c>
      <c r="O21" s="79">
        <v>49.036180000000002</v>
      </c>
      <c r="P21" s="79">
        <v>5703.9104600000001</v>
      </c>
      <c r="Q21" s="77"/>
      <c r="R21" s="77"/>
      <c r="S21" s="77"/>
      <c r="T21" s="77"/>
      <c r="U21" s="77"/>
      <c r="V21" s="87"/>
      <c r="W21" s="87"/>
      <c r="X21" s="87"/>
      <c r="Y21" s="77"/>
      <c r="Z21" s="88"/>
      <c r="AA21" s="35"/>
      <c r="AB21" s="35"/>
    </row>
    <row r="22" spans="1:28" x14ac:dyDescent="0.25">
      <c r="A22" s="68" t="str">
        <f t="shared" si="0"/>
        <v>467284</v>
      </c>
      <c r="B22" s="10">
        <f t="shared" si="1"/>
        <v>767.84874000000002</v>
      </c>
      <c r="C22" s="77" t="s">
        <v>4714</v>
      </c>
      <c r="D22" s="191" t="str">
        <f t="shared" si="2"/>
        <v>HAL MultiSwitch Touch vypínač k jednotce Master new</v>
      </c>
      <c r="E22" s="77" t="s">
        <v>849</v>
      </c>
      <c r="F22" s="77" t="s">
        <v>850</v>
      </c>
      <c r="G22" s="77" t="s">
        <v>852</v>
      </c>
      <c r="H22" s="77" t="s">
        <v>851</v>
      </c>
      <c r="I22" s="77" t="s">
        <v>795</v>
      </c>
      <c r="J22" s="90">
        <v>10</v>
      </c>
      <c r="K22" s="91">
        <v>1</v>
      </c>
      <c r="L22" s="77" t="s">
        <v>227</v>
      </c>
      <c r="M22" s="78">
        <v>767.84874000000002</v>
      </c>
      <c r="N22" s="79">
        <v>32.006520000000002</v>
      </c>
      <c r="O22" s="79">
        <v>102.71012</v>
      </c>
      <c r="P22" s="79">
        <v>11634.071819999999</v>
      </c>
      <c r="Q22" s="77"/>
      <c r="R22" s="77"/>
      <c r="S22" s="77"/>
      <c r="T22" s="77"/>
      <c r="U22" s="77"/>
      <c r="V22" s="87"/>
      <c r="W22" s="87"/>
      <c r="X22" s="87"/>
      <c r="Y22" s="77"/>
      <c r="Z22" s="88"/>
      <c r="AA22" s="35"/>
      <c r="AB22" s="35"/>
    </row>
    <row r="23" spans="1:28" x14ac:dyDescent="0.25">
      <c r="A23" s="68" t="str">
        <f t="shared" si="0"/>
        <v>292936</v>
      </c>
      <c r="B23" s="10">
        <f t="shared" si="1"/>
        <v>3026.59719</v>
      </c>
      <c r="C23" s="77" t="s">
        <v>4715</v>
      </c>
      <c r="D23" s="191" t="str">
        <f t="shared" si="2"/>
        <v>HAL opakovač IR signálu</v>
      </c>
      <c r="E23" s="77" t="s">
        <v>853</v>
      </c>
      <c r="F23" s="77" t="s">
        <v>853</v>
      </c>
      <c r="G23" s="77" t="s">
        <v>855</v>
      </c>
      <c r="H23" s="77" t="s">
        <v>854</v>
      </c>
      <c r="I23" s="77" t="s">
        <v>795</v>
      </c>
      <c r="J23" s="90">
        <v>10</v>
      </c>
      <c r="K23" s="91">
        <v>1</v>
      </c>
      <c r="L23" s="77" t="s">
        <v>227</v>
      </c>
      <c r="M23" s="78">
        <v>3026.59719</v>
      </c>
      <c r="N23" s="79">
        <v>126.15876</v>
      </c>
      <c r="O23" s="79">
        <v>388.77854000000002</v>
      </c>
      <c r="P23" s="79">
        <v>45857.533179999999</v>
      </c>
      <c r="Q23" s="77"/>
      <c r="R23" s="77"/>
      <c r="S23" s="77"/>
      <c r="T23" s="77"/>
      <c r="U23" s="77"/>
      <c r="V23" s="87"/>
      <c r="W23" s="87"/>
      <c r="X23" s="87"/>
      <c r="Y23" s="77"/>
      <c r="Z23" s="88"/>
      <c r="AA23" s="35"/>
      <c r="AB23" s="35"/>
    </row>
    <row r="24" spans="1:28" x14ac:dyDescent="0.25">
      <c r="A24" s="68" t="str">
        <f t="shared" si="0"/>
        <v>467282</v>
      </c>
      <c r="B24" s="10">
        <f t="shared" si="1"/>
        <v>106.8858</v>
      </c>
      <c r="C24" s="77" t="s">
        <v>4716</v>
      </c>
      <c r="D24" s="191" t="str">
        <f t="shared" si="2"/>
        <v>HAL prodlužovací kabel k jednotce Master 3m new</v>
      </c>
      <c r="E24" s="77" t="s">
        <v>856</v>
      </c>
      <c r="F24" s="77" t="s">
        <v>857</v>
      </c>
      <c r="G24" s="77" t="s">
        <v>859</v>
      </c>
      <c r="H24" s="77" t="s">
        <v>858</v>
      </c>
      <c r="I24" s="77" t="s">
        <v>795</v>
      </c>
      <c r="J24" s="90">
        <v>10</v>
      </c>
      <c r="K24" s="91">
        <v>1</v>
      </c>
      <c r="L24" s="77" t="s">
        <v>227</v>
      </c>
      <c r="M24" s="78">
        <v>106.8858</v>
      </c>
      <c r="N24" s="79">
        <v>4.4553599999999998</v>
      </c>
      <c r="O24" s="79">
        <v>13.82316</v>
      </c>
      <c r="P24" s="79">
        <v>1619.48181</v>
      </c>
      <c r="Q24" s="77"/>
      <c r="R24" s="77"/>
      <c r="S24" s="77"/>
      <c r="T24" s="77"/>
      <c r="U24" s="77"/>
      <c r="V24" s="87"/>
      <c r="W24" s="87"/>
      <c r="X24" s="87"/>
      <c r="Y24" s="77"/>
      <c r="Z24" s="88"/>
      <c r="AA24" s="35"/>
      <c r="AB24" s="35"/>
    </row>
    <row r="25" spans="1:28" x14ac:dyDescent="0.25">
      <c r="A25" s="68" t="str">
        <f t="shared" si="0"/>
        <v>353619</v>
      </c>
      <c r="B25" s="10">
        <f t="shared" si="1"/>
        <v>589.44375000000002</v>
      </c>
      <c r="C25" s="77" t="s">
        <v>4717</v>
      </c>
      <c r="D25" s="191" t="str">
        <f t="shared" si="2"/>
        <v>HAL rozdvojka 230V Euro plug</v>
      </c>
      <c r="E25" s="77" t="s">
        <v>860</v>
      </c>
      <c r="F25" s="77" t="s">
        <v>860</v>
      </c>
      <c r="G25" s="77" t="s">
        <v>862</v>
      </c>
      <c r="H25" s="77" t="s">
        <v>861</v>
      </c>
      <c r="I25" s="77" t="s">
        <v>795</v>
      </c>
      <c r="J25" s="90">
        <v>10</v>
      </c>
      <c r="K25" s="91">
        <v>1</v>
      </c>
      <c r="L25" s="77" t="s">
        <v>227</v>
      </c>
      <c r="M25" s="78">
        <v>589.44375000000002</v>
      </c>
      <c r="N25" s="79">
        <v>24.57</v>
      </c>
      <c r="O25" s="79">
        <v>76.852980000000002</v>
      </c>
      <c r="P25" s="79">
        <v>8930.9658999999992</v>
      </c>
      <c r="Q25" s="77"/>
      <c r="R25" s="77"/>
      <c r="S25" s="77"/>
      <c r="T25" s="77"/>
      <c r="U25" s="77"/>
      <c r="V25" s="87"/>
      <c r="W25" s="87"/>
      <c r="X25" s="87"/>
      <c r="Y25" s="77"/>
      <c r="Z25" s="88"/>
      <c r="AA25" s="35"/>
      <c r="AB25" s="35"/>
    </row>
    <row r="26" spans="1:28" x14ac:dyDescent="0.25">
      <c r="A26" s="68" t="str">
        <f t="shared" si="0"/>
        <v>404512</v>
      </c>
      <c r="B26" s="10">
        <f t="shared" si="1"/>
        <v>344.23514999999998</v>
      </c>
      <c r="C26" s="77" t="s">
        <v>4718</v>
      </c>
      <c r="D26" s="191" t="str">
        <f t="shared" si="2"/>
        <v>HAL vypínač mechanický 12V černý</v>
      </c>
      <c r="E26" s="77" t="s">
        <v>863</v>
      </c>
      <c r="F26" s="77" t="s">
        <v>864</v>
      </c>
      <c r="G26" s="77" t="s">
        <v>866</v>
      </c>
      <c r="H26" s="77" t="s">
        <v>865</v>
      </c>
      <c r="I26" s="77" t="s">
        <v>795</v>
      </c>
      <c r="J26" s="90">
        <v>10</v>
      </c>
      <c r="K26" s="91">
        <v>1</v>
      </c>
      <c r="L26" s="77" t="s">
        <v>227</v>
      </c>
      <c r="M26" s="78">
        <v>344.23514999999998</v>
      </c>
      <c r="N26" s="79">
        <v>14.348879999999999</v>
      </c>
      <c r="O26" s="79">
        <v>51.791539999999998</v>
      </c>
      <c r="P26" s="79">
        <v>5215.6841000000004</v>
      </c>
      <c r="Q26" s="77"/>
      <c r="R26" s="77"/>
      <c r="S26" s="77"/>
      <c r="T26" s="77"/>
      <c r="U26" s="77"/>
      <c r="V26" s="87"/>
      <c r="W26" s="87"/>
      <c r="X26" s="87"/>
      <c r="Y26" s="77"/>
      <c r="Z26" s="88"/>
      <c r="AA26" s="35"/>
      <c r="AB26" s="35"/>
    </row>
    <row r="27" spans="1:28" x14ac:dyDescent="0.25">
      <c r="A27" s="68" t="str">
        <f t="shared" si="0"/>
        <v>457946</v>
      </c>
      <c r="B27" s="10">
        <f t="shared" si="1"/>
        <v>10.08</v>
      </c>
      <c r="C27" s="77" t="s">
        <v>4719</v>
      </c>
      <c r="D27" s="191" t="str">
        <f t="shared" si="2"/>
        <v>Hmatník pro mechanický vypínač 11,5/12,5mm</v>
      </c>
      <c r="E27" s="77" t="s">
        <v>867</v>
      </c>
      <c r="F27" s="77" t="s">
        <v>868</v>
      </c>
      <c r="G27" s="77" t="s">
        <v>867</v>
      </c>
      <c r="H27" s="77" t="s">
        <v>869</v>
      </c>
      <c r="I27" s="77" t="s">
        <v>795</v>
      </c>
      <c r="J27" s="90">
        <v>10</v>
      </c>
      <c r="K27" s="91">
        <v>1</v>
      </c>
      <c r="L27" s="77" t="s">
        <v>6565</v>
      </c>
      <c r="M27" s="78">
        <v>10.08</v>
      </c>
      <c r="N27" s="79">
        <v>0.43154999999999999</v>
      </c>
      <c r="O27" s="79">
        <v>1.4960599999999999</v>
      </c>
      <c r="P27" s="79">
        <v>148.80681000000001</v>
      </c>
      <c r="Q27" s="77"/>
      <c r="R27" s="77"/>
      <c r="S27" s="77"/>
      <c r="T27" s="77"/>
      <c r="U27" s="77"/>
      <c r="V27" s="87"/>
      <c r="W27" s="87"/>
      <c r="X27" s="87"/>
      <c r="Y27" s="77"/>
      <c r="Z27" s="88"/>
      <c r="AA27" s="35"/>
      <c r="AB27" s="35"/>
    </row>
    <row r="28" spans="1:28" x14ac:dyDescent="0.25">
      <c r="A28" s="68" t="str">
        <f t="shared" si="0"/>
        <v>501267</v>
      </c>
      <c r="B28" s="10">
        <f t="shared" si="1"/>
        <v>10.08</v>
      </c>
      <c r="C28" s="77" t="s">
        <v>4720</v>
      </c>
      <c r="D28" s="191" t="str">
        <f t="shared" si="2"/>
        <v>Hmatník pro mechanický vypínač 11,5/7,2mm</v>
      </c>
      <c r="E28" s="77" t="s">
        <v>870</v>
      </c>
      <c r="F28" s="77" t="s">
        <v>871</v>
      </c>
      <c r="G28" s="77" t="s">
        <v>873</v>
      </c>
      <c r="H28" s="77" t="s">
        <v>872</v>
      </c>
      <c r="I28" s="77" t="s">
        <v>795</v>
      </c>
      <c r="J28" s="90">
        <v>10</v>
      </c>
      <c r="K28" s="91">
        <v>1</v>
      </c>
      <c r="L28" s="77" t="s">
        <v>6565</v>
      </c>
      <c r="M28" s="78">
        <v>10.08</v>
      </c>
      <c r="N28" s="79">
        <v>0.43154999999999999</v>
      </c>
      <c r="O28" s="79">
        <v>1.4960599999999999</v>
      </c>
      <c r="P28" s="79">
        <v>148.80681000000001</v>
      </c>
      <c r="Q28" s="77"/>
      <c r="R28" s="77"/>
      <c r="S28" s="77"/>
      <c r="T28" s="77"/>
      <c r="U28" s="77"/>
      <c r="V28" s="87"/>
      <c r="W28" s="87"/>
      <c r="X28" s="87"/>
      <c r="Y28" s="77"/>
      <c r="Z28" s="88"/>
      <c r="AA28" s="35"/>
      <c r="AB28" s="35"/>
    </row>
    <row r="29" spans="1:28" x14ac:dyDescent="0.25">
      <c r="A29" s="68" t="str">
        <f t="shared" si="0"/>
        <v>312318</v>
      </c>
      <c r="B29" s="10">
        <f t="shared" si="1"/>
        <v>10.08</v>
      </c>
      <c r="C29" s="77" t="s">
        <v>4721</v>
      </c>
      <c r="D29" s="191" t="str">
        <f t="shared" si="2"/>
        <v>Hmatník pro mechanický vypínač 8/7mm</v>
      </c>
      <c r="E29" s="77" t="s">
        <v>874</v>
      </c>
      <c r="F29" s="77" t="s">
        <v>875</v>
      </c>
      <c r="G29" s="77" t="s">
        <v>877</v>
      </c>
      <c r="H29" s="77" t="s">
        <v>876</v>
      </c>
      <c r="I29" s="77" t="s">
        <v>795</v>
      </c>
      <c r="J29" s="90">
        <v>10</v>
      </c>
      <c r="K29" s="91">
        <v>1</v>
      </c>
      <c r="L29" s="77" t="s">
        <v>6565</v>
      </c>
      <c r="M29" s="78">
        <v>10.08</v>
      </c>
      <c r="N29" s="79">
        <v>0.43154999999999999</v>
      </c>
      <c r="O29" s="79">
        <v>1.4960599999999999</v>
      </c>
      <c r="P29" s="79">
        <v>148.80681000000001</v>
      </c>
      <c r="Q29" s="77"/>
      <c r="R29" s="77"/>
      <c r="S29" s="77"/>
      <c r="T29" s="77"/>
      <c r="U29" s="77"/>
      <c r="V29" s="87"/>
      <c r="W29" s="87"/>
      <c r="X29" s="87"/>
      <c r="Y29" s="77"/>
      <c r="Z29" s="88"/>
      <c r="AA29" s="35"/>
      <c r="AB29" s="35"/>
    </row>
    <row r="30" spans="1:28" x14ac:dyDescent="0.25">
      <c r="A30" s="68" t="str">
        <f t="shared" si="0"/>
        <v>536854</v>
      </c>
      <c r="B30" s="10">
        <f t="shared" si="1"/>
        <v>2162.8656299999998</v>
      </c>
      <c r="C30" s="77" t="s">
        <v>4722</v>
      </c>
      <c r="D30" s="191" t="str">
        <f t="shared" si="2"/>
        <v>K-HAL MultiSwitch MagicSwitch podpovrchový vypínač včetně jednotky Master new</v>
      </c>
      <c r="E30" s="77" t="s">
        <v>878</v>
      </c>
      <c r="F30" s="77" t="s">
        <v>879</v>
      </c>
      <c r="G30" s="77" t="s">
        <v>881</v>
      </c>
      <c r="H30" s="77" t="s">
        <v>880</v>
      </c>
      <c r="I30" s="77" t="s">
        <v>795</v>
      </c>
      <c r="J30" s="90">
        <v>10</v>
      </c>
      <c r="K30" s="91">
        <v>1</v>
      </c>
      <c r="L30" s="77" t="s">
        <v>227</v>
      </c>
      <c r="M30" s="78">
        <v>2162.8656299999998</v>
      </c>
      <c r="N30" s="79">
        <v>90.155519999999996</v>
      </c>
      <c r="O30" s="79">
        <v>278.67818</v>
      </c>
      <c r="P30" s="79">
        <v>32770.691379999997</v>
      </c>
      <c r="Q30" s="77"/>
      <c r="R30" s="77"/>
      <c r="S30" s="77"/>
      <c r="T30" s="77"/>
      <c r="U30" s="77"/>
      <c r="V30" s="87"/>
      <c r="W30" s="87"/>
      <c r="X30" s="87"/>
      <c r="Y30" s="77"/>
      <c r="Z30" s="88"/>
      <c r="AA30" s="35"/>
      <c r="AB30" s="35"/>
    </row>
    <row r="31" spans="1:28" x14ac:dyDescent="0.25">
      <c r="A31" s="68" t="str">
        <f t="shared" si="0"/>
        <v>555666</v>
      </c>
      <c r="B31" s="10">
        <f t="shared" si="1"/>
        <v>1293.117</v>
      </c>
      <c r="C31" s="77" t="s">
        <v>4723</v>
      </c>
      <c r="D31" s="191" t="str">
        <f t="shared" si="2"/>
        <v>K-StrongLumio LED COB 24V 12W/m neutrální,Surface stříbrná, krytka průsvitná, 2m</v>
      </c>
      <c r="E31" s="77" t="s">
        <v>882</v>
      </c>
      <c r="F31" s="77" t="s">
        <v>6407</v>
      </c>
      <c r="G31" s="77" t="s">
        <v>6408</v>
      </c>
      <c r="H31" s="77" t="s">
        <v>794</v>
      </c>
      <c r="I31" s="77" t="s">
        <v>795</v>
      </c>
      <c r="J31" s="90">
        <v>1</v>
      </c>
      <c r="K31" s="91">
        <v>1</v>
      </c>
      <c r="L31" s="77" t="s">
        <v>227</v>
      </c>
      <c r="M31" s="78">
        <v>1293.117</v>
      </c>
      <c r="N31" s="79">
        <v>47.50029</v>
      </c>
      <c r="O31" s="79">
        <v>144.79207</v>
      </c>
      <c r="P31" s="79">
        <v>16802.31523</v>
      </c>
      <c r="Q31" s="77"/>
      <c r="R31" s="77"/>
      <c r="S31" s="77"/>
      <c r="T31" s="77"/>
      <c r="U31" s="77"/>
      <c r="V31" s="87"/>
      <c r="W31" s="87"/>
      <c r="X31" s="87"/>
      <c r="Y31" s="77"/>
      <c r="Z31" s="88"/>
      <c r="AA31" s="35"/>
      <c r="AB31" s="35"/>
    </row>
    <row r="32" spans="1:28" x14ac:dyDescent="0.25">
      <c r="A32" s="68" t="str">
        <f t="shared" si="0"/>
        <v>555667</v>
      </c>
      <c r="B32" s="10">
        <f t="shared" si="1"/>
        <v>1293.117</v>
      </c>
      <c r="C32" s="77" t="s">
        <v>4724</v>
      </c>
      <c r="D32" s="191" t="str">
        <f t="shared" si="2"/>
        <v>K-StrongLumio LED COB 24V 12W/m studená,Surface stříbrná, krytka průsvitná, 2m</v>
      </c>
      <c r="E32" s="77" t="s">
        <v>883</v>
      </c>
      <c r="F32" s="77" t="s">
        <v>6409</v>
      </c>
      <c r="G32" s="77" t="s">
        <v>6408</v>
      </c>
      <c r="H32" s="77" t="s">
        <v>794</v>
      </c>
      <c r="I32" s="77" t="s">
        <v>795</v>
      </c>
      <c r="J32" s="90">
        <v>1</v>
      </c>
      <c r="K32" s="91">
        <v>1</v>
      </c>
      <c r="L32" s="77" t="s">
        <v>227</v>
      </c>
      <c r="M32" s="78">
        <v>1293.117</v>
      </c>
      <c r="N32" s="79">
        <v>47.50029</v>
      </c>
      <c r="O32" s="79">
        <v>144.79207</v>
      </c>
      <c r="P32" s="79">
        <v>16802.31523</v>
      </c>
      <c r="Q32" s="77"/>
      <c r="R32" s="77"/>
      <c r="S32" s="77"/>
      <c r="T32" s="77"/>
      <c r="U32" s="77"/>
      <c r="V32" s="87"/>
      <c r="W32" s="87"/>
      <c r="X32" s="87"/>
      <c r="Y32" s="77"/>
      <c r="Z32" s="88"/>
      <c r="AA32" s="35"/>
      <c r="AB32" s="35"/>
    </row>
    <row r="33" spans="1:28" x14ac:dyDescent="0.25">
      <c r="A33" s="68" t="str">
        <f t="shared" si="0"/>
        <v>555705</v>
      </c>
      <c r="B33" s="10">
        <f t="shared" si="1"/>
        <v>1153.8311200000001</v>
      </c>
      <c r="C33" s="77" t="s">
        <v>4725</v>
      </c>
      <c r="D33" s="191" t="str">
        <f t="shared" si="2"/>
        <v>K-StrongLumio LED COB 24V 12W/m teplá II,Surface stříbrná,krytka průsvitná, 2m</v>
      </c>
      <c r="E33" s="77" t="s">
        <v>884</v>
      </c>
      <c r="F33" s="77" t="s">
        <v>6410</v>
      </c>
      <c r="G33" s="77" t="s">
        <v>6411</v>
      </c>
      <c r="H33" s="77" t="s">
        <v>794</v>
      </c>
      <c r="I33" s="77" t="s">
        <v>795</v>
      </c>
      <c r="J33" s="90">
        <v>1</v>
      </c>
      <c r="K33" s="91">
        <v>1</v>
      </c>
      <c r="L33" s="77" t="s">
        <v>227</v>
      </c>
      <c r="M33" s="78">
        <v>1153.8311200000001</v>
      </c>
      <c r="N33" s="79">
        <v>48.321379999999998</v>
      </c>
      <c r="O33" s="79">
        <v>140.77977000000001</v>
      </c>
      <c r="P33" s="79">
        <v>14575.995010000001</v>
      </c>
      <c r="Q33" s="77"/>
      <c r="R33" s="77"/>
      <c r="S33" s="77"/>
      <c r="T33" s="77"/>
      <c r="U33" s="77"/>
      <c r="V33" s="87"/>
      <c r="W33" s="87"/>
      <c r="X33" s="87"/>
      <c r="Y33" s="77"/>
      <c r="Z33" s="88"/>
      <c r="AA33" s="35"/>
      <c r="AB33" s="35"/>
    </row>
    <row r="34" spans="1:28" x14ac:dyDescent="0.25">
      <c r="A34" s="68" t="str">
        <f t="shared" si="0"/>
        <v>555663</v>
      </c>
      <c r="B34" s="10">
        <f t="shared" si="1"/>
        <v>1293.117</v>
      </c>
      <c r="C34" s="77" t="s">
        <v>4726</v>
      </c>
      <c r="D34" s="191" t="str">
        <f t="shared" si="2"/>
        <v>K-StrongLumio LED COB 24V 12W/m teplá, Surface stříbrná, krytka průsvitná, 2m</v>
      </c>
      <c r="E34" s="77" t="s">
        <v>885</v>
      </c>
      <c r="F34" s="77" t="s">
        <v>6412</v>
      </c>
      <c r="G34" s="77" t="s">
        <v>6413</v>
      </c>
      <c r="H34" s="77" t="s">
        <v>794</v>
      </c>
      <c r="I34" s="77" t="s">
        <v>795</v>
      </c>
      <c r="J34" s="90">
        <v>1</v>
      </c>
      <c r="K34" s="91">
        <v>1</v>
      </c>
      <c r="L34" s="77" t="s">
        <v>227</v>
      </c>
      <c r="M34" s="78">
        <v>1293.117</v>
      </c>
      <c r="N34" s="79">
        <v>47.50029</v>
      </c>
      <c r="O34" s="79">
        <v>144.79207</v>
      </c>
      <c r="P34" s="79">
        <v>16802.31523</v>
      </c>
      <c r="Q34" s="77"/>
      <c r="R34" s="77"/>
      <c r="S34" s="77"/>
      <c r="T34" s="77"/>
      <c r="U34" s="77"/>
      <c r="V34" s="87"/>
      <c r="W34" s="87"/>
      <c r="X34" s="87"/>
      <c r="Y34" s="77"/>
      <c r="Z34" s="88"/>
      <c r="AA34" s="35"/>
      <c r="AB34" s="35"/>
    </row>
    <row r="35" spans="1:28" x14ac:dyDescent="0.25">
      <c r="A35" s="68" t="str">
        <f t="shared" si="0"/>
        <v>408390</v>
      </c>
      <c r="B35" s="10">
        <f t="shared" si="1"/>
        <v>806.4</v>
      </c>
      <c r="C35" s="77" t="s">
        <v>4727</v>
      </c>
      <c r="D35" s="191" t="str">
        <f t="shared" si="2"/>
        <v>Kuchyňskě světlo LED výkyvné napájecí kabel 230V, 15W, neutrální bílá, stříbrná</v>
      </c>
      <c r="E35" s="77" t="s">
        <v>886</v>
      </c>
      <c r="F35" s="77" t="s">
        <v>794</v>
      </c>
      <c r="G35" s="77" t="s">
        <v>794</v>
      </c>
      <c r="H35" s="77" t="s">
        <v>887</v>
      </c>
      <c r="I35" s="77" t="s">
        <v>795</v>
      </c>
      <c r="J35" s="90">
        <v>20</v>
      </c>
      <c r="K35" s="91">
        <v>1</v>
      </c>
      <c r="L35" s="77" t="s">
        <v>160</v>
      </c>
      <c r="M35" s="78">
        <v>806.4</v>
      </c>
      <c r="N35" s="79">
        <v>35.968389999999999</v>
      </c>
      <c r="O35" s="79">
        <v>0</v>
      </c>
      <c r="P35" s="79">
        <v>10951.185530000001</v>
      </c>
      <c r="Q35" s="77"/>
      <c r="R35" s="77"/>
      <c r="S35" s="77"/>
      <c r="T35" s="77"/>
      <c r="U35" s="77"/>
      <c r="V35" s="87"/>
      <c r="W35" s="87"/>
      <c r="X35" s="87"/>
      <c r="Y35" s="77"/>
      <c r="Z35" s="88"/>
      <c r="AA35" s="35"/>
      <c r="AB35" s="35"/>
    </row>
    <row r="36" spans="1:28" x14ac:dyDescent="0.25">
      <c r="A36" s="68" t="str">
        <f t="shared" ref="A36:A93" si="3">C36</f>
        <v>358291</v>
      </c>
      <c r="B36" s="10">
        <f t="shared" ref="B36:B95" si="4">IF($B$1=1,M36,IF($B$1=2,N36,IF($B$1=3,O36,IF($B$1=4,P36))))</f>
        <v>321.62130000000002</v>
      </c>
      <c r="C36" s="77" t="s">
        <v>4729</v>
      </c>
      <c r="D36" s="191" t="str">
        <f t="shared" si="2"/>
        <v>LED bodovka BAILEN 12V 3W bílá neutrální, bílá</v>
      </c>
      <c r="E36" s="77" t="s">
        <v>891</v>
      </c>
      <c r="F36" s="77" t="s">
        <v>892</v>
      </c>
      <c r="G36" s="77" t="s">
        <v>894</v>
      </c>
      <c r="H36" s="77" t="s">
        <v>893</v>
      </c>
      <c r="I36" s="77" t="s">
        <v>795</v>
      </c>
      <c r="J36" s="90">
        <v>50</v>
      </c>
      <c r="K36" s="91">
        <v>1</v>
      </c>
      <c r="L36" s="77" t="s">
        <v>227</v>
      </c>
      <c r="M36" s="78">
        <v>321.62130000000002</v>
      </c>
      <c r="N36" s="79">
        <v>13.708460000000001</v>
      </c>
      <c r="O36" s="79">
        <v>41.768999999999998</v>
      </c>
      <c r="P36" s="79">
        <v>4746.4772899999998</v>
      </c>
      <c r="Q36" s="77"/>
      <c r="R36" s="77"/>
      <c r="S36" s="77"/>
      <c r="T36" s="77"/>
      <c r="U36" s="77"/>
      <c r="V36" s="87"/>
      <c r="W36" s="87"/>
      <c r="X36" s="87"/>
      <c r="Y36" s="77"/>
      <c r="Z36" s="88"/>
      <c r="AA36" s="35"/>
      <c r="AB36" s="35"/>
    </row>
    <row r="37" spans="1:28" x14ac:dyDescent="0.25">
      <c r="A37" s="68" t="str">
        <f t="shared" si="3"/>
        <v>405286</v>
      </c>
      <c r="B37" s="10">
        <f t="shared" si="4"/>
        <v>321.62130000000002</v>
      </c>
      <c r="C37" s="77" t="s">
        <v>4730</v>
      </c>
      <c r="D37" s="191" t="str">
        <f t="shared" si="2"/>
        <v>LED bodovka BAILEN 12V 3W bílá neutrální, černá</v>
      </c>
      <c r="E37" s="77" t="s">
        <v>895</v>
      </c>
      <c r="F37" s="77" t="s">
        <v>896</v>
      </c>
      <c r="G37" s="77" t="s">
        <v>898</v>
      </c>
      <c r="H37" s="77" t="s">
        <v>897</v>
      </c>
      <c r="I37" s="77" t="s">
        <v>795</v>
      </c>
      <c r="J37" s="90">
        <v>50</v>
      </c>
      <c r="K37" s="91">
        <v>1</v>
      </c>
      <c r="L37" s="77" t="s">
        <v>227</v>
      </c>
      <c r="M37" s="78">
        <v>321.62130000000002</v>
      </c>
      <c r="N37" s="79">
        <v>13.708460000000001</v>
      </c>
      <c r="O37" s="79">
        <v>41.768999999999998</v>
      </c>
      <c r="P37" s="79">
        <v>4746.4772899999998</v>
      </c>
      <c r="Q37" s="77"/>
      <c r="R37" s="77"/>
      <c r="S37" s="77"/>
      <c r="T37" s="77"/>
      <c r="U37" s="77"/>
      <c r="V37" s="87"/>
      <c r="W37" s="87"/>
      <c r="X37" s="87"/>
      <c r="Y37" s="77"/>
      <c r="Z37" s="88"/>
      <c r="AA37" s="35"/>
      <c r="AB37" s="35"/>
    </row>
    <row r="38" spans="1:28" x14ac:dyDescent="0.25">
      <c r="A38" s="68" t="str">
        <f t="shared" si="3"/>
        <v>358288</v>
      </c>
      <c r="B38" s="10">
        <f t="shared" si="4"/>
        <v>321.62130000000002</v>
      </c>
      <c r="C38" s="77" t="s">
        <v>4731</v>
      </c>
      <c r="D38" s="191" t="str">
        <f t="shared" si="2"/>
        <v>LED bodovka BAILEN 12V 3W bílá neutrální, ocel broušená</v>
      </c>
      <c r="E38" s="77" t="s">
        <v>899</v>
      </c>
      <c r="F38" s="77" t="s">
        <v>900</v>
      </c>
      <c r="G38" s="77" t="s">
        <v>902</v>
      </c>
      <c r="H38" s="77" t="s">
        <v>901</v>
      </c>
      <c r="I38" s="77" t="s">
        <v>795</v>
      </c>
      <c r="J38" s="90">
        <v>50</v>
      </c>
      <c r="K38" s="91">
        <v>1</v>
      </c>
      <c r="L38" s="77" t="s">
        <v>227</v>
      </c>
      <c r="M38" s="78">
        <v>321.62130000000002</v>
      </c>
      <c r="N38" s="79">
        <v>13.708460000000001</v>
      </c>
      <c r="O38" s="79">
        <v>41.768999999999998</v>
      </c>
      <c r="P38" s="79">
        <v>4746.4772899999998</v>
      </c>
      <c r="Q38" s="77"/>
      <c r="R38" s="77"/>
      <c r="S38" s="77"/>
      <c r="T38" s="77"/>
      <c r="U38" s="77"/>
      <c r="V38" s="87"/>
      <c r="W38" s="87"/>
      <c r="X38" s="87"/>
      <c r="Y38" s="77"/>
      <c r="Z38" s="88"/>
      <c r="AA38" s="35"/>
      <c r="AB38" s="35"/>
    </row>
    <row r="39" spans="1:28" x14ac:dyDescent="0.25">
      <c r="A39" s="68" t="str">
        <f t="shared" si="3"/>
        <v>358293</v>
      </c>
      <c r="B39" s="10">
        <f t="shared" si="4"/>
        <v>321.62130000000002</v>
      </c>
      <c r="C39" s="77" t="s">
        <v>4732</v>
      </c>
      <c r="D39" s="191" t="str">
        <f t="shared" si="2"/>
        <v>LED bodovka BAILEN 12V 3W bílá studená, bílá</v>
      </c>
      <c r="E39" s="77" t="s">
        <v>903</v>
      </c>
      <c r="F39" s="77" t="s">
        <v>904</v>
      </c>
      <c r="G39" s="77" t="s">
        <v>906</v>
      </c>
      <c r="H39" s="77" t="s">
        <v>905</v>
      </c>
      <c r="I39" s="77" t="s">
        <v>795</v>
      </c>
      <c r="J39" s="90">
        <v>50</v>
      </c>
      <c r="K39" s="91">
        <v>1</v>
      </c>
      <c r="L39" s="77" t="s">
        <v>227</v>
      </c>
      <c r="M39" s="78">
        <v>321.62130000000002</v>
      </c>
      <c r="N39" s="79">
        <v>13.708460000000001</v>
      </c>
      <c r="O39" s="79">
        <v>41.768999999999998</v>
      </c>
      <c r="P39" s="79">
        <v>4746.4772899999998</v>
      </c>
      <c r="Q39" s="77"/>
      <c r="R39" s="77"/>
      <c r="S39" s="77"/>
      <c r="T39" s="77"/>
      <c r="U39" s="77"/>
      <c r="V39" s="87"/>
      <c r="W39" s="87"/>
      <c r="X39" s="87"/>
      <c r="Y39" s="77"/>
      <c r="Z39" s="88"/>
      <c r="AA39" s="35"/>
      <c r="AB39" s="35"/>
    </row>
    <row r="40" spans="1:28" x14ac:dyDescent="0.25">
      <c r="A40" s="68" t="str">
        <f t="shared" si="3"/>
        <v>405287</v>
      </c>
      <c r="B40" s="10">
        <f t="shared" si="4"/>
        <v>321.62130000000002</v>
      </c>
      <c r="C40" s="77" t="s">
        <v>4733</v>
      </c>
      <c r="D40" s="191" t="str">
        <f t="shared" si="2"/>
        <v>LED bodovka BAILEN 12V 3W bílá studená, černá</v>
      </c>
      <c r="E40" s="77" t="s">
        <v>907</v>
      </c>
      <c r="F40" s="77" t="s">
        <v>908</v>
      </c>
      <c r="G40" s="77" t="s">
        <v>910</v>
      </c>
      <c r="H40" s="77" t="s">
        <v>909</v>
      </c>
      <c r="I40" s="77" t="s">
        <v>795</v>
      </c>
      <c r="J40" s="90">
        <v>50</v>
      </c>
      <c r="K40" s="91">
        <v>1</v>
      </c>
      <c r="L40" s="77" t="s">
        <v>227</v>
      </c>
      <c r="M40" s="78">
        <v>321.62130000000002</v>
      </c>
      <c r="N40" s="79">
        <v>13.708460000000001</v>
      </c>
      <c r="O40" s="79">
        <v>41.768999999999998</v>
      </c>
      <c r="P40" s="79">
        <v>4746.4772899999998</v>
      </c>
      <c r="Q40" s="77"/>
      <c r="R40" s="77"/>
      <c r="S40" s="77"/>
      <c r="T40" s="77"/>
      <c r="U40" s="77"/>
      <c r="V40" s="87"/>
      <c r="W40" s="87"/>
      <c r="X40" s="87"/>
      <c r="Y40" s="77"/>
      <c r="Z40" s="88"/>
      <c r="AA40" s="35"/>
      <c r="AB40" s="35"/>
    </row>
    <row r="41" spans="1:28" x14ac:dyDescent="0.25">
      <c r="A41" s="68" t="str">
        <f t="shared" si="3"/>
        <v>358287</v>
      </c>
      <c r="B41" s="10">
        <f t="shared" si="4"/>
        <v>321.62130000000002</v>
      </c>
      <c r="C41" s="77" t="s">
        <v>4734</v>
      </c>
      <c r="D41" s="191" t="str">
        <f t="shared" si="2"/>
        <v>LED bodovka BAILEN 12V 3W bílá studená, ocel broušená</v>
      </c>
      <c r="E41" s="77" t="s">
        <v>911</v>
      </c>
      <c r="F41" s="77" t="s">
        <v>912</v>
      </c>
      <c r="G41" s="77" t="s">
        <v>914</v>
      </c>
      <c r="H41" s="77" t="s">
        <v>913</v>
      </c>
      <c r="I41" s="77" t="s">
        <v>795</v>
      </c>
      <c r="J41" s="90">
        <v>50</v>
      </c>
      <c r="K41" s="91">
        <v>1</v>
      </c>
      <c r="L41" s="77" t="s">
        <v>227</v>
      </c>
      <c r="M41" s="78">
        <v>321.62130000000002</v>
      </c>
      <c r="N41" s="79">
        <v>13.708460000000001</v>
      </c>
      <c r="O41" s="79">
        <v>41.768999999999998</v>
      </c>
      <c r="P41" s="79">
        <v>4746.4772899999998</v>
      </c>
      <c r="Q41" s="77"/>
      <c r="R41" s="77"/>
      <c r="S41" s="77"/>
      <c r="T41" s="77"/>
      <c r="U41" s="77"/>
      <c r="V41" s="87"/>
      <c r="W41" s="87"/>
      <c r="X41" s="87"/>
      <c r="Y41" s="77"/>
      <c r="Z41" s="88"/>
      <c r="AA41" s="35"/>
      <c r="AB41" s="35"/>
    </row>
    <row r="42" spans="1:28" x14ac:dyDescent="0.25">
      <c r="A42" s="68" t="str">
        <f t="shared" si="3"/>
        <v>358290</v>
      </c>
      <c r="B42" s="10">
        <f t="shared" si="4"/>
        <v>321.62130000000002</v>
      </c>
      <c r="C42" s="77" t="s">
        <v>4735</v>
      </c>
      <c r="D42" s="191" t="str">
        <f t="shared" si="2"/>
        <v>LED bodovka BAILEN 12V 3W bílá teplá, bílá</v>
      </c>
      <c r="E42" s="77" t="s">
        <v>915</v>
      </c>
      <c r="F42" s="77" t="s">
        <v>916</v>
      </c>
      <c r="G42" s="77" t="s">
        <v>918</v>
      </c>
      <c r="H42" s="77" t="s">
        <v>917</v>
      </c>
      <c r="I42" s="77" t="s">
        <v>795</v>
      </c>
      <c r="J42" s="90">
        <v>50</v>
      </c>
      <c r="K42" s="91">
        <v>1</v>
      </c>
      <c r="L42" s="77" t="s">
        <v>227</v>
      </c>
      <c r="M42" s="78">
        <v>321.62130000000002</v>
      </c>
      <c r="N42" s="79">
        <v>13.708460000000001</v>
      </c>
      <c r="O42" s="79">
        <v>41.768999999999998</v>
      </c>
      <c r="P42" s="79">
        <v>4746.4772899999998</v>
      </c>
      <c r="Q42" s="77"/>
      <c r="R42" s="77"/>
      <c r="S42" s="77"/>
      <c r="T42" s="77"/>
      <c r="U42" s="77"/>
      <c r="V42" s="87"/>
      <c r="W42" s="87"/>
      <c r="X42" s="87"/>
      <c r="Y42" s="77"/>
      <c r="Z42" s="88"/>
      <c r="AA42" s="35"/>
      <c r="AB42" s="35"/>
    </row>
    <row r="43" spans="1:28" x14ac:dyDescent="0.25">
      <c r="A43" s="68" t="str">
        <f t="shared" si="3"/>
        <v>405285</v>
      </c>
      <c r="B43" s="10">
        <f t="shared" si="4"/>
        <v>321.62130000000002</v>
      </c>
      <c r="C43" s="77" t="s">
        <v>4736</v>
      </c>
      <c r="D43" s="191" t="str">
        <f t="shared" si="2"/>
        <v>LED bodovka BAILEN 12V 3W bílá teplá, černá</v>
      </c>
      <c r="E43" s="77" t="s">
        <v>919</v>
      </c>
      <c r="F43" s="77" t="s">
        <v>920</v>
      </c>
      <c r="G43" s="77" t="s">
        <v>910</v>
      </c>
      <c r="H43" s="77" t="s">
        <v>921</v>
      </c>
      <c r="I43" s="77" t="s">
        <v>795</v>
      </c>
      <c r="J43" s="90">
        <v>50</v>
      </c>
      <c r="K43" s="91">
        <v>1</v>
      </c>
      <c r="L43" s="77" t="s">
        <v>227</v>
      </c>
      <c r="M43" s="78">
        <v>321.62130000000002</v>
      </c>
      <c r="N43" s="79">
        <v>13.708460000000001</v>
      </c>
      <c r="O43" s="79">
        <v>41.768999999999998</v>
      </c>
      <c r="P43" s="79">
        <v>4746.4772899999998</v>
      </c>
      <c r="Q43" s="77"/>
      <c r="R43" s="77"/>
      <c r="S43" s="77"/>
      <c r="T43" s="77"/>
      <c r="U43" s="77"/>
      <c r="V43" s="87"/>
      <c r="W43" s="87"/>
      <c r="X43" s="87"/>
      <c r="Y43" s="77"/>
      <c r="Z43" s="88"/>
      <c r="AA43" s="35"/>
      <c r="AB43" s="35"/>
    </row>
    <row r="44" spans="1:28" x14ac:dyDescent="0.25">
      <c r="A44" s="68" t="str">
        <f t="shared" si="3"/>
        <v>358289</v>
      </c>
      <c r="B44" s="10">
        <f t="shared" si="4"/>
        <v>321.62130000000002</v>
      </c>
      <c r="C44" s="77" t="s">
        <v>4737</v>
      </c>
      <c r="D44" s="191" t="str">
        <f t="shared" si="2"/>
        <v>LED bodovka BAILEN 12V 3W bílá teplá, ocel broušená</v>
      </c>
      <c r="E44" s="77" t="s">
        <v>922</v>
      </c>
      <c r="F44" s="77" t="s">
        <v>923</v>
      </c>
      <c r="G44" s="77" t="s">
        <v>925</v>
      </c>
      <c r="H44" s="77" t="s">
        <v>924</v>
      </c>
      <c r="I44" s="77" t="s">
        <v>795</v>
      </c>
      <c r="J44" s="90">
        <v>50</v>
      </c>
      <c r="K44" s="91">
        <v>1</v>
      </c>
      <c r="L44" s="77" t="s">
        <v>227</v>
      </c>
      <c r="M44" s="78">
        <v>321.62130000000002</v>
      </c>
      <c r="N44" s="79">
        <v>13.708460000000001</v>
      </c>
      <c r="O44" s="79">
        <v>41.768999999999998</v>
      </c>
      <c r="P44" s="79">
        <v>4746.4772899999998</v>
      </c>
      <c r="Q44" s="77"/>
      <c r="R44" s="77"/>
      <c r="S44" s="77"/>
      <c r="T44" s="77"/>
      <c r="U44" s="77"/>
      <c r="V44" s="87"/>
      <c r="W44" s="87"/>
      <c r="X44" s="87"/>
      <c r="Y44" s="77"/>
      <c r="Z44" s="88"/>
      <c r="AA44" s="35"/>
      <c r="AB44" s="35"/>
    </row>
    <row r="45" spans="1:28" x14ac:dyDescent="0.25">
      <c r="A45" s="68" t="str">
        <f t="shared" si="3"/>
        <v>356619</v>
      </c>
      <c r="B45" s="10">
        <f t="shared" si="4"/>
        <v>295.13484</v>
      </c>
      <c r="C45" s="77" t="s">
        <v>4738</v>
      </c>
      <c r="D45" s="191" t="str">
        <f t="shared" si="2"/>
        <v>LED bodovka CIRAT 12V 3W bílá neutrální, alu anodovaný</v>
      </c>
      <c r="E45" s="77" t="s">
        <v>926</v>
      </c>
      <c r="F45" s="77" t="s">
        <v>927</v>
      </c>
      <c r="G45" s="77" t="s">
        <v>929</v>
      </c>
      <c r="H45" s="77" t="s">
        <v>928</v>
      </c>
      <c r="I45" s="77" t="s">
        <v>795</v>
      </c>
      <c r="J45" s="90">
        <v>50</v>
      </c>
      <c r="K45" s="91">
        <v>1</v>
      </c>
      <c r="L45" s="77" t="s">
        <v>227</v>
      </c>
      <c r="M45" s="78">
        <v>295.13484</v>
      </c>
      <c r="N45" s="79">
        <v>12.579499999999999</v>
      </c>
      <c r="O45" s="79">
        <v>38.3292</v>
      </c>
      <c r="P45" s="79">
        <v>4355.5909000000001</v>
      </c>
      <c r="Q45" s="77"/>
      <c r="R45" s="77"/>
      <c r="S45" s="77"/>
      <c r="T45" s="77"/>
      <c r="U45" s="77"/>
      <c r="V45" s="87"/>
      <c r="W45" s="87"/>
      <c r="X45" s="87"/>
      <c r="Y45" s="77"/>
      <c r="Z45" s="88"/>
      <c r="AA45" s="35"/>
      <c r="AB45" s="35"/>
    </row>
    <row r="46" spans="1:28" x14ac:dyDescent="0.25">
      <c r="A46" s="68" t="str">
        <f t="shared" si="3"/>
        <v>356616</v>
      </c>
      <c r="B46" s="10">
        <f t="shared" si="4"/>
        <v>295.13484</v>
      </c>
      <c r="C46" s="77" t="s">
        <v>4739</v>
      </c>
      <c r="D46" s="191" t="str">
        <f t="shared" si="2"/>
        <v>LED bodovka CIRAT 12V 3W bílá neutrální, bílá</v>
      </c>
      <c r="E46" s="77" t="s">
        <v>930</v>
      </c>
      <c r="F46" s="77" t="s">
        <v>931</v>
      </c>
      <c r="G46" s="77" t="s">
        <v>933</v>
      </c>
      <c r="H46" s="77" t="s">
        <v>932</v>
      </c>
      <c r="I46" s="77" t="s">
        <v>795</v>
      </c>
      <c r="J46" s="90">
        <v>50</v>
      </c>
      <c r="K46" s="91">
        <v>1</v>
      </c>
      <c r="L46" s="77" t="s">
        <v>227</v>
      </c>
      <c r="M46" s="78">
        <v>295.13484</v>
      </c>
      <c r="N46" s="79">
        <v>12.579499999999999</v>
      </c>
      <c r="O46" s="79">
        <v>38.3292</v>
      </c>
      <c r="P46" s="79">
        <v>4355.5909000000001</v>
      </c>
      <c r="Q46" s="77"/>
      <c r="R46" s="77"/>
      <c r="S46" s="77"/>
      <c r="T46" s="77"/>
      <c r="U46" s="77"/>
      <c r="V46" s="87"/>
      <c r="W46" s="87"/>
      <c r="X46" s="87"/>
      <c r="Y46" s="77"/>
      <c r="Z46" s="88"/>
      <c r="AA46" s="35"/>
      <c r="AB46" s="35"/>
    </row>
    <row r="47" spans="1:28" x14ac:dyDescent="0.25">
      <c r="A47" s="68" t="str">
        <f t="shared" si="3"/>
        <v>405283</v>
      </c>
      <c r="B47" s="10">
        <f t="shared" si="4"/>
        <v>295.13484</v>
      </c>
      <c r="C47" s="77" t="s">
        <v>4740</v>
      </c>
      <c r="D47" s="191" t="str">
        <f t="shared" si="2"/>
        <v>LED bodovka CIRAT 12V 3W bílá neutrální, černá</v>
      </c>
      <c r="E47" s="77" t="s">
        <v>934</v>
      </c>
      <c r="F47" s="77" t="s">
        <v>935</v>
      </c>
      <c r="G47" s="77" t="s">
        <v>937</v>
      </c>
      <c r="H47" s="77" t="s">
        <v>936</v>
      </c>
      <c r="I47" s="77" t="s">
        <v>795</v>
      </c>
      <c r="J47" s="90">
        <v>50</v>
      </c>
      <c r="K47" s="91">
        <v>1</v>
      </c>
      <c r="L47" s="77" t="s">
        <v>227</v>
      </c>
      <c r="M47" s="78">
        <v>295.13484</v>
      </c>
      <c r="N47" s="79">
        <v>12.579499999999999</v>
      </c>
      <c r="O47" s="79">
        <v>38.3292</v>
      </c>
      <c r="P47" s="79">
        <v>4355.5909000000001</v>
      </c>
      <c r="Q47" s="77"/>
      <c r="R47" s="77"/>
      <c r="S47" s="77"/>
      <c r="T47" s="77"/>
      <c r="U47" s="77"/>
      <c r="V47" s="87"/>
      <c r="W47" s="87"/>
      <c r="X47" s="87"/>
      <c r="Y47" s="77"/>
      <c r="Z47" s="88"/>
      <c r="AA47" s="35"/>
      <c r="AB47" s="35"/>
    </row>
    <row r="48" spans="1:28" x14ac:dyDescent="0.25">
      <c r="A48" s="68" t="str">
        <f t="shared" si="3"/>
        <v>356618</v>
      </c>
      <c r="B48" s="10">
        <f t="shared" si="4"/>
        <v>295.13484</v>
      </c>
      <c r="C48" s="77" t="s">
        <v>4741</v>
      </c>
      <c r="D48" s="191" t="str">
        <f t="shared" si="2"/>
        <v>LED bodovka CIRAT 12V 3W bílá studená, alu anodovaný</v>
      </c>
      <c r="E48" s="77" t="s">
        <v>938</v>
      </c>
      <c r="F48" s="77" t="s">
        <v>939</v>
      </c>
      <c r="G48" s="77" t="s">
        <v>941</v>
      </c>
      <c r="H48" s="77" t="s">
        <v>940</v>
      </c>
      <c r="I48" s="77" t="s">
        <v>795</v>
      </c>
      <c r="J48" s="90">
        <v>50</v>
      </c>
      <c r="K48" s="91">
        <v>1</v>
      </c>
      <c r="L48" s="77" t="s">
        <v>227</v>
      </c>
      <c r="M48" s="78">
        <v>295.13484</v>
      </c>
      <c r="N48" s="79">
        <v>12.579499999999999</v>
      </c>
      <c r="O48" s="79">
        <v>38.3292</v>
      </c>
      <c r="P48" s="79">
        <v>4355.5909000000001</v>
      </c>
      <c r="Q48" s="77"/>
      <c r="R48" s="77"/>
      <c r="S48" s="77"/>
      <c r="T48" s="77"/>
      <c r="U48" s="77"/>
      <c r="V48" s="87"/>
      <c r="W48" s="87"/>
      <c r="X48" s="87"/>
      <c r="Y48" s="77"/>
      <c r="Z48" s="88"/>
      <c r="AA48" s="35"/>
      <c r="AB48" s="35"/>
    </row>
    <row r="49" spans="1:28" x14ac:dyDescent="0.25">
      <c r="A49" s="68" t="str">
        <f t="shared" si="3"/>
        <v>356617</v>
      </c>
      <c r="B49" s="10">
        <f t="shared" si="4"/>
        <v>295.13484</v>
      </c>
      <c r="C49" s="77" t="s">
        <v>4742</v>
      </c>
      <c r="D49" s="191" t="str">
        <f t="shared" si="2"/>
        <v>LED bodovka CIRAT 12V 3W bílá studená, bílá</v>
      </c>
      <c r="E49" s="77" t="s">
        <v>942</v>
      </c>
      <c r="F49" s="77" t="s">
        <v>943</v>
      </c>
      <c r="G49" s="77" t="s">
        <v>945</v>
      </c>
      <c r="H49" s="77" t="s">
        <v>944</v>
      </c>
      <c r="I49" s="77" t="s">
        <v>795</v>
      </c>
      <c r="J49" s="90">
        <v>50</v>
      </c>
      <c r="K49" s="91">
        <v>1</v>
      </c>
      <c r="L49" s="77" t="s">
        <v>227</v>
      </c>
      <c r="M49" s="78">
        <v>295.13484</v>
      </c>
      <c r="N49" s="79">
        <v>12.579499999999999</v>
      </c>
      <c r="O49" s="79">
        <v>38.3292</v>
      </c>
      <c r="P49" s="79">
        <v>4355.5909000000001</v>
      </c>
      <c r="Q49" s="77"/>
      <c r="R49" s="77"/>
      <c r="S49" s="77"/>
      <c r="T49" s="77"/>
      <c r="U49" s="77"/>
      <c r="V49" s="87"/>
      <c r="W49" s="87"/>
      <c r="X49" s="87"/>
      <c r="Y49" s="77"/>
      <c r="Z49" s="88"/>
      <c r="AA49" s="35"/>
      <c r="AB49" s="35"/>
    </row>
    <row r="50" spans="1:28" x14ac:dyDescent="0.25">
      <c r="A50" s="68" t="str">
        <f t="shared" si="3"/>
        <v>405284</v>
      </c>
      <c r="B50" s="10">
        <f t="shared" si="4"/>
        <v>295.13484</v>
      </c>
      <c r="C50" s="77" t="s">
        <v>4743</v>
      </c>
      <c r="D50" s="191" t="str">
        <f t="shared" si="2"/>
        <v>LED bodovka CIRAT 12V 3W bílá studená, černá</v>
      </c>
      <c r="E50" s="77" t="s">
        <v>946</v>
      </c>
      <c r="F50" s="77" t="s">
        <v>947</v>
      </c>
      <c r="G50" s="77" t="s">
        <v>949</v>
      </c>
      <c r="H50" s="77" t="s">
        <v>948</v>
      </c>
      <c r="I50" s="77" t="s">
        <v>795</v>
      </c>
      <c r="J50" s="90">
        <v>50</v>
      </c>
      <c r="K50" s="91">
        <v>1</v>
      </c>
      <c r="L50" s="77" t="s">
        <v>227</v>
      </c>
      <c r="M50" s="78">
        <v>295.13484</v>
      </c>
      <c r="N50" s="79">
        <v>12.579499999999999</v>
      </c>
      <c r="O50" s="79">
        <v>38.3292</v>
      </c>
      <c r="P50" s="79">
        <v>4355.5909000000001</v>
      </c>
      <c r="Q50" s="77"/>
      <c r="R50" s="77"/>
      <c r="S50" s="77"/>
      <c r="T50" s="77"/>
      <c r="U50" s="77"/>
      <c r="V50" s="87"/>
      <c r="W50" s="87"/>
      <c r="X50" s="87"/>
      <c r="Y50" s="77"/>
      <c r="Z50" s="88"/>
      <c r="AA50" s="35"/>
      <c r="AB50" s="35"/>
    </row>
    <row r="51" spans="1:28" x14ac:dyDescent="0.25">
      <c r="A51" s="68" t="str">
        <f t="shared" si="3"/>
        <v>356620</v>
      </c>
      <c r="B51" s="10">
        <f t="shared" si="4"/>
        <v>295.13484</v>
      </c>
      <c r="C51" s="77" t="s">
        <v>4744</v>
      </c>
      <c r="D51" s="191" t="str">
        <f t="shared" si="2"/>
        <v>LED bodovka CIRAT 12V 3W bílá teplá, alu anodovaný</v>
      </c>
      <c r="E51" s="77" t="s">
        <v>950</v>
      </c>
      <c r="F51" s="77" t="s">
        <v>951</v>
      </c>
      <c r="G51" s="77" t="s">
        <v>953</v>
      </c>
      <c r="H51" s="77" t="s">
        <v>952</v>
      </c>
      <c r="I51" s="77" t="s">
        <v>795</v>
      </c>
      <c r="J51" s="90">
        <v>50</v>
      </c>
      <c r="K51" s="91">
        <v>1</v>
      </c>
      <c r="L51" s="77" t="s">
        <v>227</v>
      </c>
      <c r="M51" s="78">
        <v>295.13484</v>
      </c>
      <c r="N51" s="79">
        <v>12.579499999999999</v>
      </c>
      <c r="O51" s="79">
        <v>38.3292</v>
      </c>
      <c r="P51" s="79">
        <v>4355.5909000000001</v>
      </c>
      <c r="Q51" s="77"/>
      <c r="R51" s="77"/>
      <c r="S51" s="77"/>
      <c r="T51" s="77"/>
      <c r="U51" s="77"/>
      <c r="V51" s="87"/>
      <c r="W51" s="87"/>
      <c r="X51" s="87"/>
      <c r="Y51" s="77"/>
      <c r="Z51" s="88"/>
      <c r="AA51" s="35"/>
      <c r="AB51" s="35"/>
    </row>
    <row r="52" spans="1:28" x14ac:dyDescent="0.25">
      <c r="A52" s="68" t="str">
        <f t="shared" si="3"/>
        <v>356615</v>
      </c>
      <c r="B52" s="10">
        <f t="shared" si="4"/>
        <v>295.13484</v>
      </c>
      <c r="C52" s="77" t="s">
        <v>4745</v>
      </c>
      <c r="D52" s="191" t="str">
        <f t="shared" si="2"/>
        <v>LED bodovka CIRAT 12V 3W bílá teplá, bílá</v>
      </c>
      <c r="E52" s="77" t="s">
        <v>954</v>
      </c>
      <c r="F52" s="77" t="s">
        <v>955</v>
      </c>
      <c r="G52" s="77" t="s">
        <v>957</v>
      </c>
      <c r="H52" s="77" t="s">
        <v>956</v>
      </c>
      <c r="I52" s="77" t="s">
        <v>795</v>
      </c>
      <c r="J52" s="90">
        <v>50</v>
      </c>
      <c r="K52" s="91">
        <v>1</v>
      </c>
      <c r="L52" s="77" t="s">
        <v>227</v>
      </c>
      <c r="M52" s="78">
        <v>295.13484</v>
      </c>
      <c r="N52" s="79">
        <v>12.579499999999999</v>
      </c>
      <c r="O52" s="79">
        <v>38.3292</v>
      </c>
      <c r="P52" s="79">
        <v>4355.5909000000001</v>
      </c>
      <c r="Q52" s="77"/>
      <c r="R52" s="77"/>
      <c r="S52" s="77"/>
      <c r="T52" s="77"/>
      <c r="U52" s="77"/>
      <c r="V52" s="87"/>
      <c r="W52" s="87"/>
      <c r="X52" s="87"/>
      <c r="Y52" s="77"/>
      <c r="Z52" s="88"/>
      <c r="AA52" s="35"/>
      <c r="AB52" s="35"/>
    </row>
    <row r="53" spans="1:28" x14ac:dyDescent="0.25">
      <c r="A53" s="68" t="str">
        <f t="shared" si="3"/>
        <v>405282</v>
      </c>
      <c r="B53" s="10">
        <f t="shared" si="4"/>
        <v>295.13484</v>
      </c>
      <c r="C53" s="77" t="s">
        <v>4746</v>
      </c>
      <c r="D53" s="191" t="str">
        <f t="shared" si="2"/>
        <v>LED bodovka CIRAT 12V 3W bílá teplá, černá</v>
      </c>
      <c r="E53" s="77" t="s">
        <v>958</v>
      </c>
      <c r="F53" s="77" t="s">
        <v>959</v>
      </c>
      <c r="G53" s="77" t="s">
        <v>961</v>
      </c>
      <c r="H53" s="77" t="s">
        <v>960</v>
      </c>
      <c r="I53" s="77" t="s">
        <v>795</v>
      </c>
      <c r="J53" s="90">
        <v>50</v>
      </c>
      <c r="K53" s="91">
        <v>1</v>
      </c>
      <c r="L53" s="77" t="s">
        <v>227</v>
      </c>
      <c r="M53" s="78">
        <v>295.13484</v>
      </c>
      <c r="N53" s="79">
        <v>12.579499999999999</v>
      </c>
      <c r="O53" s="79">
        <v>38.3292</v>
      </c>
      <c r="P53" s="79">
        <v>4355.5909000000001</v>
      </c>
      <c r="Q53" s="77"/>
      <c r="R53" s="77"/>
      <c r="S53" s="77"/>
      <c r="T53" s="77"/>
      <c r="U53" s="77"/>
      <c r="V53" s="87"/>
      <c r="W53" s="87"/>
      <c r="X53" s="87"/>
      <c r="Y53" s="77"/>
      <c r="Z53" s="88"/>
      <c r="AA53" s="35"/>
      <c r="AB53" s="35"/>
    </row>
    <row r="54" spans="1:28" x14ac:dyDescent="0.25">
      <c r="A54" s="68" t="str">
        <f t="shared" si="3"/>
        <v>356612</v>
      </c>
      <c r="B54" s="10">
        <f t="shared" si="4"/>
        <v>295.13484</v>
      </c>
      <c r="C54" s="77" t="s">
        <v>4747</v>
      </c>
      <c r="D54" s="191" t="str">
        <f t="shared" si="2"/>
        <v>LED bodovka CIRAT 12V 3W ocel broušená bílá studená</v>
      </c>
      <c r="E54" s="77" t="s">
        <v>962</v>
      </c>
      <c r="F54" s="77" t="s">
        <v>963</v>
      </c>
      <c r="G54" s="77" t="s">
        <v>965</v>
      </c>
      <c r="H54" s="77" t="s">
        <v>964</v>
      </c>
      <c r="I54" s="77" t="s">
        <v>795</v>
      </c>
      <c r="J54" s="90">
        <v>50</v>
      </c>
      <c r="K54" s="91">
        <v>1</v>
      </c>
      <c r="L54" s="77" t="s">
        <v>6565</v>
      </c>
      <c r="M54" s="78">
        <v>295.13484</v>
      </c>
      <c r="N54" s="79">
        <v>12.579499999999999</v>
      </c>
      <c r="O54" s="79">
        <v>38.3292</v>
      </c>
      <c r="P54" s="79">
        <v>4355.5909000000001</v>
      </c>
      <c r="Q54" s="77"/>
      <c r="R54" s="77"/>
      <c r="S54" s="77"/>
      <c r="T54" s="77"/>
      <c r="U54" s="77"/>
      <c r="V54" s="87"/>
      <c r="W54" s="87"/>
      <c r="X54" s="87"/>
      <c r="Y54" s="77"/>
      <c r="Z54" s="88"/>
      <c r="AA54" s="35"/>
      <c r="AB54" s="35"/>
    </row>
    <row r="55" spans="1:28" x14ac:dyDescent="0.25">
      <c r="A55" s="68" t="str">
        <f t="shared" si="3"/>
        <v>306484</v>
      </c>
      <c r="B55" s="10">
        <f t="shared" si="4"/>
        <v>290.79225000000002</v>
      </c>
      <c r="C55" s="77" t="s">
        <v>4748</v>
      </c>
      <c r="D55" s="191" t="str">
        <f t="shared" si="2"/>
        <v>LED bodovka Oval bílá teplá bílá</v>
      </c>
      <c r="E55" s="77" t="s">
        <v>966</v>
      </c>
      <c r="F55" s="77" t="s">
        <v>967</v>
      </c>
      <c r="G55" s="77" t="s">
        <v>969</v>
      </c>
      <c r="H55" s="77" t="s">
        <v>968</v>
      </c>
      <c r="I55" s="77" t="s">
        <v>795</v>
      </c>
      <c r="J55" s="90">
        <v>10</v>
      </c>
      <c r="K55" s="91">
        <v>10</v>
      </c>
      <c r="L55" s="77" t="s">
        <v>6565</v>
      </c>
      <c r="M55" s="78">
        <v>290.79225000000002</v>
      </c>
      <c r="N55" s="79">
        <v>12.1212</v>
      </c>
      <c r="O55" s="79">
        <v>36.932720000000003</v>
      </c>
      <c r="P55" s="79">
        <v>4405.94319</v>
      </c>
      <c r="Q55" s="77"/>
      <c r="R55" s="77"/>
      <c r="S55" s="77"/>
      <c r="T55" s="77"/>
      <c r="U55" s="77"/>
      <c r="V55" s="87"/>
      <c r="W55" s="87"/>
      <c r="X55" s="87"/>
      <c r="Y55" s="77"/>
      <c r="Z55" s="88"/>
      <c r="AA55" s="35"/>
      <c r="AB55" s="35"/>
    </row>
    <row r="56" spans="1:28" x14ac:dyDescent="0.25">
      <c r="A56" s="68" t="str">
        <f t="shared" si="3"/>
        <v>405932</v>
      </c>
      <c r="B56" s="10">
        <f t="shared" si="4"/>
        <v>259.35525000000001</v>
      </c>
      <c r="C56" s="77" t="s">
        <v>4749</v>
      </c>
      <c r="D56" s="191" t="str">
        <f t="shared" si="2"/>
        <v>LED bodovka Oval nerez broušený neutrální bílá</v>
      </c>
      <c r="E56" s="77" t="s">
        <v>970</v>
      </c>
      <c r="F56" s="77" t="s">
        <v>971</v>
      </c>
      <c r="G56" s="77" t="s">
        <v>973</v>
      </c>
      <c r="H56" s="77" t="s">
        <v>972</v>
      </c>
      <c r="I56" s="77" t="s">
        <v>795</v>
      </c>
      <c r="J56" s="90">
        <v>20</v>
      </c>
      <c r="K56" s="91">
        <v>1</v>
      </c>
      <c r="L56" s="77" t="s">
        <v>6565</v>
      </c>
      <c r="M56" s="78">
        <v>259.35525000000001</v>
      </c>
      <c r="N56" s="79">
        <v>10.8108</v>
      </c>
      <c r="O56" s="79">
        <v>32.94</v>
      </c>
      <c r="P56" s="79">
        <v>3929.625</v>
      </c>
      <c r="Q56" s="77"/>
      <c r="R56" s="77"/>
      <c r="S56" s="77"/>
      <c r="T56" s="77"/>
      <c r="U56" s="77"/>
      <c r="V56" s="87"/>
      <c r="W56" s="87"/>
      <c r="X56" s="87"/>
      <c r="Y56" s="77"/>
      <c r="Z56" s="88"/>
      <c r="AA56" s="35"/>
      <c r="AB56" s="35"/>
    </row>
    <row r="57" spans="1:28" x14ac:dyDescent="0.25">
      <c r="A57" s="68" t="str">
        <f t="shared" si="3"/>
        <v>515073</v>
      </c>
      <c r="B57" s="10">
        <f t="shared" si="4"/>
        <v>161.40600000000001</v>
      </c>
      <c r="C57" s="77" t="s">
        <v>4750</v>
      </c>
      <c r="D57" s="191" t="str">
        <f t="shared" si="2"/>
        <v>LED bodovka Star 12V, 0,6W, chrom matný, neutrální bílá</v>
      </c>
      <c r="E57" s="77" t="s">
        <v>974</v>
      </c>
      <c r="F57" s="77" t="s">
        <v>975</v>
      </c>
      <c r="G57" s="77" t="s">
        <v>977</v>
      </c>
      <c r="H57" s="77" t="s">
        <v>976</v>
      </c>
      <c r="I57" s="77" t="s">
        <v>795</v>
      </c>
      <c r="J57" s="90">
        <v>10</v>
      </c>
      <c r="K57" s="91">
        <v>10</v>
      </c>
      <c r="L57" s="77" t="s">
        <v>6565</v>
      </c>
      <c r="M57" s="78">
        <v>161.40600000000001</v>
      </c>
      <c r="N57" s="79">
        <v>6.8795999999999999</v>
      </c>
      <c r="O57" s="79">
        <v>20.961819999999999</v>
      </c>
      <c r="P57" s="79">
        <v>3012.71272</v>
      </c>
      <c r="Q57" s="77"/>
      <c r="R57" s="77"/>
      <c r="S57" s="77"/>
      <c r="T57" s="77"/>
      <c r="U57" s="77"/>
      <c r="V57" s="87"/>
      <c r="W57" s="87"/>
      <c r="X57" s="87"/>
      <c r="Y57" s="77"/>
      <c r="Z57" s="88"/>
      <c r="AA57" s="35"/>
      <c r="AB57" s="35"/>
    </row>
    <row r="58" spans="1:28" x14ac:dyDescent="0.25">
      <c r="A58" s="68" t="str">
        <f t="shared" si="3"/>
        <v>487175</v>
      </c>
      <c r="B58" s="10">
        <f t="shared" si="4"/>
        <v>1171.0282500000001</v>
      </c>
      <c r="C58" s="77" t="s">
        <v>4751</v>
      </c>
      <c r="D58" s="191" t="str">
        <f t="shared" si="2"/>
        <v>LED lampička Modus Touch USB 12V 2W teplá bílá, bílá</v>
      </c>
      <c r="E58" s="77" t="s">
        <v>978</v>
      </c>
      <c r="F58" s="77" t="s">
        <v>979</v>
      </c>
      <c r="G58" s="77" t="s">
        <v>981</v>
      </c>
      <c r="H58" s="77" t="s">
        <v>980</v>
      </c>
      <c r="I58" s="77" t="s">
        <v>795</v>
      </c>
      <c r="J58" s="90">
        <v>20</v>
      </c>
      <c r="K58" s="91">
        <v>1</v>
      </c>
      <c r="L58" s="77" t="s">
        <v>227</v>
      </c>
      <c r="M58" s="78">
        <v>1171.0282500000001</v>
      </c>
      <c r="N58" s="79">
        <v>48.812399999999997</v>
      </c>
      <c r="O58" s="79">
        <v>148.72909999999999</v>
      </c>
      <c r="P58" s="79">
        <v>17742.852289999999</v>
      </c>
      <c r="Q58" s="77"/>
      <c r="R58" s="77"/>
      <c r="S58" s="77"/>
      <c r="T58" s="77"/>
      <c r="U58" s="77"/>
      <c r="V58" s="87"/>
      <c r="W58" s="87"/>
      <c r="X58" s="87"/>
      <c r="Y58" s="77"/>
      <c r="Z58" s="88"/>
      <c r="AA58" s="35"/>
      <c r="AB58" s="35"/>
    </row>
    <row r="59" spans="1:28" x14ac:dyDescent="0.25">
      <c r="A59" s="68" t="str">
        <f t="shared" si="3"/>
        <v>487177</v>
      </c>
      <c r="B59" s="10">
        <f t="shared" si="4"/>
        <v>1171.0282500000001</v>
      </c>
      <c r="C59" s="77" t="s">
        <v>4752</v>
      </c>
      <c r="D59" s="191" t="str">
        <f t="shared" si="2"/>
        <v>LED lampička Modus Touch USB 12V 2W teplá bílá, černá</v>
      </c>
      <c r="E59" s="77" t="s">
        <v>982</v>
      </c>
      <c r="F59" s="77" t="s">
        <v>983</v>
      </c>
      <c r="G59" s="77" t="s">
        <v>985</v>
      </c>
      <c r="H59" s="77" t="s">
        <v>984</v>
      </c>
      <c r="I59" s="77" t="s">
        <v>795</v>
      </c>
      <c r="J59" s="90">
        <v>20</v>
      </c>
      <c r="K59" s="91">
        <v>1</v>
      </c>
      <c r="L59" s="77" t="s">
        <v>227</v>
      </c>
      <c r="M59" s="78">
        <v>1171.0282500000001</v>
      </c>
      <c r="N59" s="79">
        <v>48.812399999999997</v>
      </c>
      <c r="O59" s="79">
        <v>154.42573999999999</v>
      </c>
      <c r="P59" s="79">
        <v>17742.852289999999</v>
      </c>
      <c r="Q59" s="77"/>
      <c r="R59" s="77"/>
      <c r="S59" s="77"/>
      <c r="T59" s="77"/>
      <c r="U59" s="77"/>
      <c r="V59" s="87"/>
      <c r="W59" s="87"/>
      <c r="X59" s="87"/>
      <c r="Y59" s="77"/>
      <c r="Z59" s="88"/>
      <c r="AA59" s="35"/>
      <c r="AB59" s="35"/>
    </row>
    <row r="60" spans="1:28" x14ac:dyDescent="0.25">
      <c r="A60" s="68" t="str">
        <f t="shared" si="3"/>
        <v>536959</v>
      </c>
      <c r="B60" s="10">
        <f t="shared" si="4"/>
        <v>644.96249999999998</v>
      </c>
      <c r="C60" s="77" t="s">
        <v>4753</v>
      </c>
      <c r="D60" s="191" t="str">
        <f t="shared" si="2"/>
        <v>LED lišta Greta CCT s pohybovým senzorem</v>
      </c>
      <c r="E60" s="77" t="s">
        <v>986</v>
      </c>
      <c r="F60" s="77" t="s">
        <v>794</v>
      </c>
      <c r="G60" s="77" t="s">
        <v>794</v>
      </c>
      <c r="H60" s="77" t="s">
        <v>794</v>
      </c>
      <c r="I60" s="77" t="s">
        <v>795</v>
      </c>
      <c r="J60" s="90">
        <v>50</v>
      </c>
      <c r="K60" s="91">
        <v>1</v>
      </c>
      <c r="L60" s="77" t="s">
        <v>6565</v>
      </c>
      <c r="M60" s="78">
        <v>644.96249999999998</v>
      </c>
      <c r="N60" s="79">
        <v>26.8842</v>
      </c>
      <c r="O60" s="79">
        <v>83.537999999999997</v>
      </c>
      <c r="P60" s="79">
        <v>9772.1591000000008</v>
      </c>
      <c r="Q60" s="77"/>
      <c r="R60" s="77"/>
      <c r="S60" s="77"/>
      <c r="T60" s="77"/>
      <c r="U60" s="77"/>
      <c r="V60" s="87"/>
      <c r="W60" s="87"/>
      <c r="X60" s="87"/>
      <c r="Y60" s="77"/>
      <c r="Z60" s="88"/>
      <c r="AA60" s="35"/>
      <c r="AB60" s="35"/>
    </row>
    <row r="61" spans="1:28" x14ac:dyDescent="0.25">
      <c r="A61" s="68" t="str">
        <f t="shared" si="3"/>
        <v>263988</v>
      </c>
      <c r="B61" s="10">
        <f t="shared" si="4"/>
        <v>330.81047999999998</v>
      </c>
      <c r="C61" s="77" t="s">
        <v>4754</v>
      </c>
      <c r="D61" s="191" t="str">
        <f t="shared" si="2"/>
        <v>LED pás.9,6W/m bílá teplá 1025mm + 2 kabel MINI</v>
      </c>
      <c r="E61" s="77" t="s">
        <v>987</v>
      </c>
      <c r="F61" s="77" t="s">
        <v>794</v>
      </c>
      <c r="G61" s="77" t="s">
        <v>989</v>
      </c>
      <c r="H61" s="77" t="s">
        <v>988</v>
      </c>
      <c r="I61" s="77" t="s">
        <v>795</v>
      </c>
      <c r="J61" s="90">
        <v>100</v>
      </c>
      <c r="K61" s="91">
        <v>1</v>
      </c>
      <c r="L61" s="77" t="s">
        <v>6565</v>
      </c>
      <c r="M61" s="78">
        <v>330.81047999999998</v>
      </c>
      <c r="N61" s="79">
        <v>14.10013</v>
      </c>
      <c r="O61" s="79">
        <v>42.962400000000002</v>
      </c>
      <c r="P61" s="79">
        <v>4883.2877200000003</v>
      </c>
      <c r="Q61" s="77"/>
      <c r="R61" s="77"/>
      <c r="S61" s="77"/>
      <c r="T61" s="77"/>
      <c r="U61" s="77"/>
      <c r="V61" s="87"/>
      <c r="W61" s="87"/>
      <c r="X61" s="87"/>
      <c r="Y61" s="77"/>
      <c r="Z61" s="88"/>
      <c r="AA61" s="35"/>
      <c r="AB61" s="35"/>
    </row>
    <row r="62" spans="1:28" x14ac:dyDescent="0.25">
      <c r="A62" s="68" t="str">
        <f t="shared" si="3"/>
        <v>179304</v>
      </c>
      <c r="B62" s="10">
        <f t="shared" si="4"/>
        <v>110.565</v>
      </c>
      <c r="C62" s="77" t="s">
        <v>4755</v>
      </c>
      <c r="D62" s="191" t="str">
        <f t="shared" si="2"/>
        <v>LED pásek 8mm 9,6W/m 12V bílá teplá</v>
      </c>
      <c r="E62" s="77" t="s">
        <v>990</v>
      </c>
      <c r="F62" s="77" t="s">
        <v>991</v>
      </c>
      <c r="G62" s="77" t="s">
        <v>994</v>
      </c>
      <c r="H62" s="77" t="s">
        <v>993</v>
      </c>
      <c r="I62" s="77" t="s">
        <v>992</v>
      </c>
      <c r="J62" s="90">
        <v>5</v>
      </c>
      <c r="K62" s="91">
        <v>1</v>
      </c>
      <c r="L62" s="77" t="s">
        <v>6565</v>
      </c>
      <c r="M62" s="78">
        <v>110.565</v>
      </c>
      <c r="N62" s="79">
        <v>4.6087199999999999</v>
      </c>
      <c r="O62" s="79">
        <v>14.04</v>
      </c>
      <c r="P62" s="79">
        <v>1675.22729</v>
      </c>
      <c r="Q62" s="77"/>
      <c r="R62" s="77"/>
      <c r="S62" s="77"/>
      <c r="T62" s="77"/>
      <c r="U62" s="77"/>
      <c r="V62" s="87"/>
      <c r="W62" s="87"/>
      <c r="X62" s="87"/>
      <c r="Y62" s="77"/>
      <c r="Z62" s="88"/>
      <c r="AA62" s="35"/>
      <c r="AB62" s="35"/>
    </row>
    <row r="63" spans="1:28" x14ac:dyDescent="0.25">
      <c r="A63" s="68" t="str">
        <f t="shared" si="3"/>
        <v>515505</v>
      </c>
      <c r="B63" s="10">
        <f t="shared" si="4"/>
        <v>203.05781999999999</v>
      </c>
      <c r="C63" s="77" t="s">
        <v>4756</v>
      </c>
      <c r="D63" s="191" t="str">
        <f t="shared" si="2"/>
        <v>LED svítidlo ISDA 7W černé, denní bílá</v>
      </c>
      <c r="E63" s="77" t="s">
        <v>995</v>
      </c>
      <c r="F63" s="77" t="s">
        <v>794</v>
      </c>
      <c r="G63" s="77" t="s">
        <v>794</v>
      </c>
      <c r="H63" s="77" t="s">
        <v>794</v>
      </c>
      <c r="I63" s="77" t="s">
        <v>795</v>
      </c>
      <c r="J63" s="90">
        <v>5</v>
      </c>
      <c r="K63" s="91">
        <v>1</v>
      </c>
      <c r="L63" s="77" t="s">
        <v>6565</v>
      </c>
      <c r="M63" s="78">
        <v>203.05781999999999</v>
      </c>
      <c r="N63" s="79">
        <v>8.6549399999999999</v>
      </c>
      <c r="O63" s="79">
        <v>26.99296</v>
      </c>
      <c r="P63" s="79">
        <v>3076.63364</v>
      </c>
      <c r="Q63" s="77"/>
      <c r="R63" s="77"/>
      <c r="S63" s="77"/>
      <c r="T63" s="77"/>
      <c r="U63" s="77"/>
      <c r="V63" s="87"/>
      <c r="W63" s="87"/>
      <c r="X63" s="87"/>
      <c r="Y63" s="77"/>
      <c r="Z63" s="88"/>
      <c r="AA63" s="35"/>
      <c r="AB63" s="35"/>
    </row>
    <row r="64" spans="1:28" x14ac:dyDescent="0.25">
      <c r="A64" s="68" t="str">
        <f t="shared" si="3"/>
        <v>515503</v>
      </c>
      <c r="B64" s="10">
        <f t="shared" si="4"/>
        <v>203.05781999999999</v>
      </c>
      <c r="C64" s="77" t="s">
        <v>4757</v>
      </c>
      <c r="D64" s="191" t="str">
        <f t="shared" si="2"/>
        <v>LED svítidlo ISDA 7W černé, teplá bílá</v>
      </c>
      <c r="E64" s="77" t="s">
        <v>996</v>
      </c>
      <c r="F64" s="77" t="s">
        <v>794</v>
      </c>
      <c r="G64" s="77" t="s">
        <v>794</v>
      </c>
      <c r="H64" s="77" t="s">
        <v>794</v>
      </c>
      <c r="I64" s="77" t="s">
        <v>795</v>
      </c>
      <c r="J64" s="90">
        <v>5</v>
      </c>
      <c r="K64" s="91">
        <v>1</v>
      </c>
      <c r="L64" s="77" t="s">
        <v>6565</v>
      </c>
      <c r="M64" s="78">
        <v>203.05781999999999</v>
      </c>
      <c r="N64" s="79">
        <v>8.6549399999999999</v>
      </c>
      <c r="O64" s="79">
        <v>26.99296</v>
      </c>
      <c r="P64" s="79">
        <v>3076.63364</v>
      </c>
      <c r="Q64" s="77"/>
      <c r="R64" s="77"/>
      <c r="S64" s="77"/>
      <c r="T64" s="77"/>
      <c r="U64" s="77"/>
      <c r="V64" s="87"/>
      <c r="W64" s="87"/>
      <c r="X64" s="87"/>
      <c r="Y64" s="77"/>
      <c r="Z64" s="88"/>
      <c r="AA64" s="35"/>
      <c r="AB64" s="35"/>
    </row>
    <row r="65" spans="1:28" x14ac:dyDescent="0.25">
      <c r="A65" s="68" t="str">
        <f t="shared" si="3"/>
        <v>392293</v>
      </c>
      <c r="B65" s="10">
        <f t="shared" si="4"/>
        <v>677.25</v>
      </c>
      <c r="C65" s="77" t="s">
        <v>4758</v>
      </c>
      <c r="D65" s="191" t="str">
        <f t="shared" si="2"/>
        <v>LED svítidlo Mera 10W neutrální bílá 538mm, bílá</v>
      </c>
      <c r="E65" s="77" t="s">
        <v>997</v>
      </c>
      <c r="F65" s="77" t="s">
        <v>998</v>
      </c>
      <c r="G65" s="77" t="s">
        <v>1000</v>
      </c>
      <c r="H65" s="77" t="s">
        <v>999</v>
      </c>
      <c r="I65" s="77" t="s">
        <v>795</v>
      </c>
      <c r="J65" s="90">
        <v>30</v>
      </c>
      <c r="K65" s="91">
        <v>1</v>
      </c>
      <c r="L65" s="77" t="s">
        <v>6565</v>
      </c>
      <c r="M65" s="78">
        <v>677.25</v>
      </c>
      <c r="N65" s="79">
        <v>28.866399999999999</v>
      </c>
      <c r="O65" s="79">
        <v>87.954539999999994</v>
      </c>
      <c r="P65" s="79">
        <v>10261.36364</v>
      </c>
      <c r="Q65" s="77"/>
      <c r="R65" s="77"/>
      <c r="S65" s="77"/>
      <c r="T65" s="77"/>
      <c r="U65" s="77"/>
      <c r="V65" s="87"/>
      <c r="W65" s="87"/>
      <c r="X65" s="87"/>
      <c r="Y65" s="77"/>
      <c r="Z65" s="88"/>
      <c r="AA65" s="35"/>
      <c r="AB65" s="35"/>
    </row>
    <row r="66" spans="1:28" x14ac:dyDescent="0.25">
      <c r="A66" s="68" t="str">
        <f t="shared" si="3"/>
        <v>392294</v>
      </c>
      <c r="B66" s="10">
        <f t="shared" si="4"/>
        <v>756</v>
      </c>
      <c r="C66" s="77" t="s">
        <v>4759</v>
      </c>
      <c r="D66" s="191" t="str">
        <f t="shared" si="2"/>
        <v>LED svítidlo Mera 15W neutrální bílá 838mm, bílá</v>
      </c>
      <c r="E66" s="77" t="s">
        <v>1001</v>
      </c>
      <c r="F66" s="77" t="s">
        <v>1002</v>
      </c>
      <c r="G66" s="77" t="s">
        <v>1004</v>
      </c>
      <c r="H66" s="77" t="s">
        <v>1003</v>
      </c>
      <c r="I66" s="77" t="s">
        <v>795</v>
      </c>
      <c r="J66" s="90">
        <v>30</v>
      </c>
      <c r="K66" s="91">
        <v>1</v>
      </c>
      <c r="L66" s="77" t="s">
        <v>227</v>
      </c>
      <c r="M66" s="78">
        <v>756</v>
      </c>
      <c r="N66" s="79">
        <v>32.22296</v>
      </c>
      <c r="O66" s="79">
        <v>98.181820000000002</v>
      </c>
      <c r="P66" s="79">
        <v>11454.54545</v>
      </c>
      <c r="Q66" s="77"/>
      <c r="R66" s="77"/>
      <c r="S66" s="77"/>
      <c r="T66" s="77"/>
      <c r="U66" s="77"/>
      <c r="V66" s="87"/>
      <c r="W66" s="87"/>
      <c r="X66" s="87"/>
      <c r="Y66" s="77"/>
      <c r="Z66" s="88"/>
      <c r="AA66" s="35"/>
      <c r="AB66" s="35"/>
    </row>
    <row r="67" spans="1:28" x14ac:dyDescent="0.25">
      <c r="A67" s="68" t="str">
        <f t="shared" si="3"/>
        <v>392295</v>
      </c>
      <c r="B67" s="10">
        <f t="shared" si="4"/>
        <v>941.85</v>
      </c>
      <c r="C67" s="77" t="s">
        <v>4760</v>
      </c>
      <c r="D67" s="191" t="str">
        <f t="shared" ref="D67:D130" si="5">IF($B$1=1,E67,IF($B$1=2,F67,IF($B$1=3,G67,IF($B$1=4,H67))))</f>
        <v>LED svítidlo Mera 20W neutrální bílá 1138mm, bílá</v>
      </c>
      <c r="E67" s="77" t="s">
        <v>1005</v>
      </c>
      <c r="F67" s="77" t="s">
        <v>1006</v>
      </c>
      <c r="G67" s="77" t="s">
        <v>1008</v>
      </c>
      <c r="H67" s="77" t="s">
        <v>1007</v>
      </c>
      <c r="I67" s="77" t="s">
        <v>795</v>
      </c>
      <c r="J67" s="90">
        <v>30</v>
      </c>
      <c r="K67" s="91">
        <v>1</v>
      </c>
      <c r="L67" s="77" t="s">
        <v>227</v>
      </c>
      <c r="M67" s="78">
        <v>941.85</v>
      </c>
      <c r="N67" s="79">
        <v>40.144440000000003</v>
      </c>
      <c r="O67" s="79">
        <v>122.31818</v>
      </c>
      <c r="P67" s="79">
        <v>14270.45455</v>
      </c>
      <c r="Q67" s="77"/>
      <c r="R67" s="77"/>
      <c r="S67" s="77"/>
      <c r="T67" s="77"/>
      <c r="U67" s="77"/>
      <c r="V67" s="87"/>
      <c r="W67" s="87"/>
      <c r="X67" s="87"/>
      <c r="Y67" s="77"/>
      <c r="Z67" s="88"/>
      <c r="AA67" s="35"/>
      <c r="AB67" s="35"/>
    </row>
    <row r="68" spans="1:28" x14ac:dyDescent="0.25">
      <c r="A68" s="68" t="str">
        <f t="shared" si="3"/>
        <v>SAL111</v>
      </c>
      <c r="B68" s="10">
        <f t="shared" si="4"/>
        <v>469.18871999999999</v>
      </c>
      <c r="C68" s="77" t="s">
        <v>1009</v>
      </c>
      <c r="D68" s="191" t="str">
        <f t="shared" si="5"/>
        <v>LED svítidlo pro skleněné police - 2 ks + napájecí zdroj bílá</v>
      </c>
      <c r="E68" s="77" t="s">
        <v>1010</v>
      </c>
      <c r="F68" s="77" t="s">
        <v>1011</v>
      </c>
      <c r="G68" s="77" t="s">
        <v>1013</v>
      </c>
      <c r="H68" s="77" t="s">
        <v>1012</v>
      </c>
      <c r="I68" s="77" t="s">
        <v>795</v>
      </c>
      <c r="J68" s="90">
        <v>1</v>
      </c>
      <c r="K68" s="91">
        <v>1</v>
      </c>
      <c r="L68" s="77" t="s">
        <v>227</v>
      </c>
      <c r="M68" s="78">
        <v>469.18871999999999</v>
      </c>
      <c r="N68" s="79">
        <v>19.99822</v>
      </c>
      <c r="O68" s="79">
        <v>60.933599999999998</v>
      </c>
      <c r="P68" s="79">
        <v>6924.2727400000003</v>
      </c>
      <c r="Q68" s="77"/>
      <c r="R68" s="77"/>
      <c r="S68" s="77"/>
      <c r="T68" s="77"/>
      <c r="U68" s="77"/>
      <c r="V68" s="87"/>
      <c r="W68" s="87"/>
      <c r="X68" s="87"/>
      <c r="Y68" s="77"/>
      <c r="Z68" s="88"/>
      <c r="AA68" s="35"/>
      <c r="AB68" s="35"/>
    </row>
    <row r="69" spans="1:28" x14ac:dyDescent="0.25">
      <c r="A69" s="68" t="str">
        <f t="shared" si="3"/>
        <v>SAL091</v>
      </c>
      <c r="B69" s="10">
        <f t="shared" si="4"/>
        <v>112.25214</v>
      </c>
      <c r="C69" s="77" t="s">
        <v>1014</v>
      </c>
      <c r="D69" s="191" t="str">
        <f t="shared" si="5"/>
        <v>LED svítidlo pro skleněné police 0,25W bílá</v>
      </c>
      <c r="E69" s="77" t="s">
        <v>1015</v>
      </c>
      <c r="F69" s="77" t="s">
        <v>1016</v>
      </c>
      <c r="G69" s="77" t="s">
        <v>1018</v>
      </c>
      <c r="H69" s="77" t="s">
        <v>1017</v>
      </c>
      <c r="I69" s="77" t="s">
        <v>795</v>
      </c>
      <c r="J69" s="90">
        <v>1</v>
      </c>
      <c r="K69" s="91">
        <v>1</v>
      </c>
      <c r="L69" s="77" t="s">
        <v>227</v>
      </c>
      <c r="M69" s="78">
        <v>112.25214</v>
      </c>
      <c r="N69" s="79">
        <v>4.7845300000000002</v>
      </c>
      <c r="O69" s="79">
        <v>14.578200000000001</v>
      </c>
      <c r="P69" s="79">
        <v>1555.9469200000001</v>
      </c>
      <c r="Q69" s="77"/>
      <c r="R69" s="77"/>
      <c r="S69" s="77"/>
      <c r="T69" s="77"/>
      <c r="U69" s="77"/>
      <c r="V69" s="87"/>
      <c r="W69" s="87"/>
      <c r="X69" s="87"/>
      <c r="Y69" s="77"/>
      <c r="Z69" s="88"/>
      <c r="AA69" s="35"/>
      <c r="AB69" s="35"/>
    </row>
    <row r="70" spans="1:28" x14ac:dyDescent="0.25">
      <c r="A70" s="68" t="str">
        <f t="shared" si="3"/>
        <v>515501</v>
      </c>
      <c r="B70" s="10">
        <f t="shared" si="4"/>
        <v>648.22307999999998</v>
      </c>
      <c r="C70" s="77" t="s">
        <v>4761</v>
      </c>
      <c r="D70" s="191" t="str">
        <f t="shared" si="5"/>
        <v>LED vestavné svítidlo PIR-LOPEN-B-IP65 černé, studená bílá</v>
      </c>
      <c r="E70" s="77" t="s">
        <v>1019</v>
      </c>
      <c r="F70" s="77" t="s">
        <v>794</v>
      </c>
      <c r="G70" s="77" t="s">
        <v>794</v>
      </c>
      <c r="H70" s="77" t="s">
        <v>794</v>
      </c>
      <c r="I70" s="77" t="s">
        <v>795</v>
      </c>
      <c r="J70" s="90">
        <v>5</v>
      </c>
      <c r="K70" s="91">
        <v>1</v>
      </c>
      <c r="L70" s="77" t="s">
        <v>6565</v>
      </c>
      <c r="M70" s="78">
        <v>648.22307999999998</v>
      </c>
      <c r="N70" s="79">
        <v>27.629200000000001</v>
      </c>
      <c r="O70" s="79">
        <v>86.169799999999995</v>
      </c>
      <c r="P70" s="79">
        <v>9821.5618200000008</v>
      </c>
      <c r="Q70" s="77"/>
      <c r="R70" s="77"/>
      <c r="S70" s="77"/>
      <c r="T70" s="77"/>
      <c r="U70" s="77"/>
      <c r="V70" s="87"/>
      <c r="W70" s="87"/>
      <c r="X70" s="87"/>
      <c r="Y70" s="77"/>
      <c r="Z70" s="88"/>
      <c r="AA70" s="35"/>
      <c r="AB70" s="35"/>
    </row>
    <row r="71" spans="1:28" x14ac:dyDescent="0.25">
      <c r="A71" s="68" t="str">
        <f t="shared" si="3"/>
        <v>515508</v>
      </c>
      <c r="B71" s="10">
        <f t="shared" si="4"/>
        <v>92.157030000000006</v>
      </c>
      <c r="C71" s="77" t="s">
        <v>4762</v>
      </c>
      <c r="D71" s="191" t="str">
        <f t="shared" si="5"/>
        <v>LED žárovka GU10 EV7W, denní bílá</v>
      </c>
      <c r="E71" s="77" t="s">
        <v>1020</v>
      </c>
      <c r="F71" s="77" t="s">
        <v>794</v>
      </c>
      <c r="G71" s="77" t="s">
        <v>794</v>
      </c>
      <c r="H71" s="77" t="s">
        <v>794</v>
      </c>
      <c r="I71" s="77" t="s">
        <v>795</v>
      </c>
      <c r="J71" s="90">
        <v>5</v>
      </c>
      <c r="K71" s="91">
        <v>1</v>
      </c>
      <c r="L71" s="77" t="s">
        <v>6565</v>
      </c>
      <c r="M71" s="78">
        <v>92.157030000000006</v>
      </c>
      <c r="N71" s="79">
        <v>3.9280400000000002</v>
      </c>
      <c r="O71" s="79">
        <v>12.250640000000001</v>
      </c>
      <c r="P71" s="79">
        <v>1396.31864</v>
      </c>
      <c r="Q71" s="77"/>
      <c r="R71" s="77"/>
      <c r="S71" s="77"/>
      <c r="T71" s="77"/>
      <c r="U71" s="77"/>
      <c r="V71" s="87"/>
      <c r="W71" s="87"/>
      <c r="X71" s="87"/>
      <c r="Y71" s="77"/>
      <c r="Z71" s="88"/>
      <c r="AA71" s="35"/>
      <c r="AB71" s="35"/>
    </row>
    <row r="72" spans="1:28" x14ac:dyDescent="0.25">
      <c r="A72" s="68" t="str">
        <f t="shared" si="3"/>
        <v>546631</v>
      </c>
      <c r="B72" s="10">
        <f t="shared" si="4"/>
        <v>85.900499999999994</v>
      </c>
      <c r="C72" s="77" t="s">
        <v>4763</v>
      </c>
      <c r="D72" s="191" t="str">
        <f t="shared" si="5"/>
        <v>LED žárovka GU10 EV7W, neutrální bílá</v>
      </c>
      <c r="E72" s="77" t="s">
        <v>1021</v>
      </c>
      <c r="F72" s="77" t="s">
        <v>794</v>
      </c>
      <c r="G72" s="77" t="s">
        <v>794</v>
      </c>
      <c r="H72" s="77" t="s">
        <v>794</v>
      </c>
      <c r="I72" s="77" t="s">
        <v>795</v>
      </c>
      <c r="J72" s="90">
        <v>5</v>
      </c>
      <c r="K72" s="91">
        <v>1</v>
      </c>
      <c r="L72" s="77" t="s">
        <v>6565</v>
      </c>
      <c r="M72" s="78">
        <v>85.900499999999994</v>
      </c>
      <c r="N72" s="79">
        <v>3.66134</v>
      </c>
      <c r="O72" s="79">
        <v>11.15592</v>
      </c>
      <c r="P72" s="79">
        <v>0</v>
      </c>
      <c r="Q72" s="77"/>
      <c r="R72" s="77"/>
      <c r="S72" s="77"/>
      <c r="T72" s="77"/>
      <c r="U72" s="77"/>
      <c r="V72" s="87"/>
      <c r="W72" s="87"/>
      <c r="X72" s="87"/>
      <c r="Y72" s="77"/>
      <c r="Z72" s="88"/>
      <c r="AA72" s="35"/>
      <c r="AB72" s="35"/>
    </row>
    <row r="73" spans="1:28" x14ac:dyDescent="0.25">
      <c r="A73" s="68" t="str">
        <f t="shared" si="3"/>
        <v>544442</v>
      </c>
      <c r="B73" s="10">
        <f t="shared" si="4"/>
        <v>85.900499999999994</v>
      </c>
      <c r="C73" s="77" t="s">
        <v>4764</v>
      </c>
      <c r="D73" s="191" t="str">
        <f t="shared" si="5"/>
        <v>LED žárovka GU10 EV7W, studená bílá</v>
      </c>
      <c r="E73" s="77" t="s">
        <v>1022</v>
      </c>
      <c r="F73" s="77" t="s">
        <v>794</v>
      </c>
      <c r="G73" s="77" t="s">
        <v>794</v>
      </c>
      <c r="H73" s="77" t="s">
        <v>794</v>
      </c>
      <c r="I73" s="77" t="s">
        <v>795</v>
      </c>
      <c r="J73" s="90">
        <v>5</v>
      </c>
      <c r="K73" s="91">
        <v>1</v>
      </c>
      <c r="L73" s="77" t="s">
        <v>6565</v>
      </c>
      <c r="M73" s="78">
        <v>85.900499999999994</v>
      </c>
      <c r="N73" s="79">
        <v>3.66134</v>
      </c>
      <c r="O73" s="79">
        <v>11.15592</v>
      </c>
      <c r="P73" s="79">
        <v>0</v>
      </c>
      <c r="Q73" s="77"/>
      <c r="R73" s="77"/>
      <c r="S73" s="77"/>
      <c r="T73" s="77"/>
      <c r="U73" s="77"/>
      <c r="V73" s="87"/>
      <c r="W73" s="87"/>
      <c r="X73" s="87"/>
      <c r="Y73" s="77"/>
      <c r="Z73" s="88"/>
      <c r="AA73" s="35"/>
      <c r="AB73" s="35"/>
    </row>
    <row r="74" spans="1:28" x14ac:dyDescent="0.25">
      <c r="A74" s="68" t="str">
        <f t="shared" si="3"/>
        <v>482684</v>
      </c>
      <c r="B74" s="10">
        <f t="shared" si="4"/>
        <v>4617.2700000000004</v>
      </c>
      <c r="C74" s="77" t="s">
        <v>4765</v>
      </c>
      <c r="D74" s="191" t="str">
        <f t="shared" si="5"/>
        <v>MEAN WELL napájecí zdroj HLG-320H-12-A, 12V, 264W, IP67</v>
      </c>
      <c r="E74" s="77" t="s">
        <v>1023</v>
      </c>
      <c r="F74" s="77" t="s">
        <v>1024</v>
      </c>
      <c r="G74" s="77" t="s">
        <v>1026</v>
      </c>
      <c r="H74" s="77" t="s">
        <v>1025</v>
      </c>
      <c r="I74" s="77" t="s">
        <v>795</v>
      </c>
      <c r="J74" s="90">
        <v>1</v>
      </c>
      <c r="K74" s="91">
        <v>1</v>
      </c>
      <c r="L74" s="77" t="s">
        <v>227</v>
      </c>
      <c r="M74" s="78">
        <v>4617.2700000000004</v>
      </c>
      <c r="N74" s="79">
        <v>196.80167</v>
      </c>
      <c r="O74" s="79">
        <v>599.64545999999996</v>
      </c>
      <c r="P74" s="79">
        <v>67920.681809999995</v>
      </c>
      <c r="Q74" s="77"/>
      <c r="R74" s="77"/>
      <c r="S74" s="77"/>
      <c r="T74" s="77"/>
      <c r="U74" s="77"/>
      <c r="V74" s="87"/>
      <c r="W74" s="87"/>
      <c r="X74" s="87"/>
      <c r="Y74" s="77"/>
      <c r="Z74" s="88"/>
      <c r="AA74" s="35"/>
      <c r="AB74" s="35"/>
    </row>
    <row r="75" spans="1:28" x14ac:dyDescent="0.25">
      <c r="A75" s="68" t="str">
        <f t="shared" si="3"/>
        <v>482686</v>
      </c>
      <c r="B75" s="10">
        <f t="shared" si="4"/>
        <v>4617.2700000000004</v>
      </c>
      <c r="C75" s="77" t="s">
        <v>4766</v>
      </c>
      <c r="D75" s="191" t="str">
        <f t="shared" si="5"/>
        <v>MEAN WELL napájecí zdroj HLG-320H-24-A, 24V, 320W, IP67</v>
      </c>
      <c r="E75" s="77" t="s">
        <v>1027</v>
      </c>
      <c r="F75" s="77" t="s">
        <v>1028</v>
      </c>
      <c r="G75" s="77" t="s">
        <v>1030</v>
      </c>
      <c r="H75" s="77" t="s">
        <v>1029</v>
      </c>
      <c r="I75" s="77" t="s">
        <v>795</v>
      </c>
      <c r="J75" s="90">
        <v>1</v>
      </c>
      <c r="K75" s="91">
        <v>1</v>
      </c>
      <c r="L75" s="77" t="s">
        <v>227</v>
      </c>
      <c r="M75" s="78">
        <v>4617.2700000000004</v>
      </c>
      <c r="N75" s="79">
        <v>196.80167</v>
      </c>
      <c r="O75" s="79">
        <v>599.64545999999996</v>
      </c>
      <c r="P75" s="79">
        <v>67920.681809999995</v>
      </c>
      <c r="Q75" s="77"/>
      <c r="R75" s="77"/>
      <c r="S75" s="77"/>
      <c r="T75" s="77"/>
      <c r="U75" s="77"/>
      <c r="V75" s="87"/>
      <c r="W75" s="87"/>
      <c r="X75" s="87"/>
      <c r="Y75" s="77"/>
      <c r="Z75" s="88"/>
      <c r="AA75" s="35"/>
      <c r="AB75" s="35"/>
    </row>
    <row r="76" spans="1:28" x14ac:dyDescent="0.25">
      <c r="A76" s="68" t="str">
        <f t="shared" si="3"/>
        <v>482663</v>
      </c>
      <c r="B76" s="10">
        <f t="shared" si="4"/>
        <v>1532.4749999999999</v>
      </c>
      <c r="C76" s="77" t="s">
        <v>4767</v>
      </c>
      <c r="D76" s="191" t="str">
        <f t="shared" si="5"/>
        <v>MEAN WELL napájecí zdroj XLG-150-12-A, 12V, 150W, IP67</v>
      </c>
      <c r="E76" s="77" t="s">
        <v>1031</v>
      </c>
      <c r="F76" s="77" t="s">
        <v>1032</v>
      </c>
      <c r="G76" s="77" t="s">
        <v>1034</v>
      </c>
      <c r="H76" s="77" t="s">
        <v>1033</v>
      </c>
      <c r="I76" s="77" t="s">
        <v>795</v>
      </c>
      <c r="J76" s="90">
        <v>1</v>
      </c>
      <c r="K76" s="91">
        <v>1</v>
      </c>
      <c r="L76" s="77" t="s">
        <v>227</v>
      </c>
      <c r="M76" s="78">
        <v>1532.4749999999999</v>
      </c>
      <c r="N76" s="79">
        <v>65.318619999999996</v>
      </c>
      <c r="O76" s="79">
        <v>199.02271999999999</v>
      </c>
      <c r="P76" s="79">
        <v>22541.590899999999</v>
      </c>
      <c r="Q76" s="77"/>
      <c r="R76" s="77"/>
      <c r="S76" s="77"/>
      <c r="T76" s="77"/>
      <c r="U76" s="77"/>
      <c r="V76" s="87"/>
      <c r="W76" s="87"/>
      <c r="X76" s="87"/>
      <c r="Y76" s="77"/>
      <c r="Z76" s="88"/>
      <c r="AA76" s="35"/>
      <c r="AB76" s="35"/>
    </row>
    <row r="77" spans="1:28" x14ac:dyDescent="0.25">
      <c r="A77" s="68" t="str">
        <f t="shared" si="3"/>
        <v>482670</v>
      </c>
      <c r="B77" s="10">
        <f t="shared" si="4"/>
        <v>1532.4749999999999</v>
      </c>
      <c r="C77" s="77" t="s">
        <v>4768</v>
      </c>
      <c r="D77" s="191" t="str">
        <f t="shared" si="5"/>
        <v>MEAN WELL napájecí zdroj XLG-150-24-A, 24V, 150W, IP67</v>
      </c>
      <c r="E77" s="77" t="s">
        <v>1035</v>
      </c>
      <c r="F77" s="77" t="s">
        <v>1036</v>
      </c>
      <c r="G77" s="77" t="s">
        <v>1038</v>
      </c>
      <c r="H77" s="77" t="s">
        <v>1037</v>
      </c>
      <c r="I77" s="77" t="s">
        <v>795</v>
      </c>
      <c r="J77" s="90">
        <v>1</v>
      </c>
      <c r="K77" s="91">
        <v>1</v>
      </c>
      <c r="L77" s="77" t="s">
        <v>227</v>
      </c>
      <c r="M77" s="78">
        <v>1532.4749999999999</v>
      </c>
      <c r="N77" s="79">
        <v>65.318619999999996</v>
      </c>
      <c r="O77" s="79">
        <v>199.02271999999999</v>
      </c>
      <c r="P77" s="79">
        <v>22541.590899999999</v>
      </c>
      <c r="Q77" s="77"/>
      <c r="R77" s="77"/>
      <c r="S77" s="77"/>
      <c r="T77" s="77"/>
      <c r="U77" s="77"/>
      <c r="V77" s="87"/>
      <c r="W77" s="87"/>
      <c r="X77" s="87"/>
      <c r="Y77" s="77"/>
      <c r="Z77" s="88"/>
      <c r="AA77" s="35"/>
      <c r="AB77" s="35"/>
    </row>
    <row r="78" spans="1:28" x14ac:dyDescent="0.25">
      <c r="A78" s="68" t="str">
        <f t="shared" si="3"/>
        <v>482682</v>
      </c>
      <c r="B78" s="10">
        <f t="shared" si="4"/>
        <v>1840.86</v>
      </c>
      <c r="C78" s="77" t="s">
        <v>4769</v>
      </c>
      <c r="D78" s="191" t="str">
        <f t="shared" si="5"/>
        <v>MEAN WELL napájecí zdroj XLG-200-12-A, 12V, 200W, IP67</v>
      </c>
      <c r="E78" s="77" t="s">
        <v>1039</v>
      </c>
      <c r="F78" s="77" t="s">
        <v>1040</v>
      </c>
      <c r="G78" s="77" t="s">
        <v>1042</v>
      </c>
      <c r="H78" s="77" t="s">
        <v>1041</v>
      </c>
      <c r="I78" s="77" t="s">
        <v>795</v>
      </c>
      <c r="J78" s="90">
        <v>1</v>
      </c>
      <c r="K78" s="91">
        <v>1</v>
      </c>
      <c r="L78" s="77" t="s">
        <v>227</v>
      </c>
      <c r="M78" s="78">
        <v>1840.86</v>
      </c>
      <c r="N78" s="79">
        <v>78.462890000000002</v>
      </c>
      <c r="O78" s="79">
        <v>239.07272</v>
      </c>
      <c r="P78" s="79">
        <v>27080.454549999999</v>
      </c>
      <c r="Q78" s="77"/>
      <c r="R78" s="77"/>
      <c r="S78" s="77"/>
      <c r="T78" s="77"/>
      <c r="U78" s="77"/>
      <c r="V78" s="87"/>
      <c r="W78" s="87"/>
      <c r="X78" s="87"/>
      <c r="Y78" s="77"/>
      <c r="Z78" s="88"/>
      <c r="AA78" s="35"/>
      <c r="AB78" s="35"/>
    </row>
    <row r="79" spans="1:28" x14ac:dyDescent="0.25">
      <c r="A79" s="68" t="str">
        <f t="shared" si="3"/>
        <v>482683</v>
      </c>
      <c r="B79" s="10">
        <f t="shared" si="4"/>
        <v>1840.86</v>
      </c>
      <c r="C79" s="77" t="s">
        <v>4770</v>
      </c>
      <c r="D79" s="191" t="str">
        <f t="shared" si="5"/>
        <v>MEAN WELL napájecí zdroj XLG-200-24-A, 24V, 200W, IP67</v>
      </c>
      <c r="E79" s="77" t="s">
        <v>1043</v>
      </c>
      <c r="F79" s="77" t="s">
        <v>1044</v>
      </c>
      <c r="G79" s="77" t="s">
        <v>1046</v>
      </c>
      <c r="H79" s="77" t="s">
        <v>1045</v>
      </c>
      <c r="I79" s="77" t="s">
        <v>795</v>
      </c>
      <c r="J79" s="90">
        <v>1</v>
      </c>
      <c r="K79" s="91">
        <v>1</v>
      </c>
      <c r="L79" s="77" t="s">
        <v>227</v>
      </c>
      <c r="M79" s="78">
        <v>1840.86</v>
      </c>
      <c r="N79" s="79">
        <v>78.462890000000002</v>
      </c>
      <c r="O79" s="79">
        <v>239.07272</v>
      </c>
      <c r="P79" s="79">
        <v>27080.454549999999</v>
      </c>
      <c r="Q79" s="77"/>
      <c r="R79" s="77"/>
      <c r="S79" s="77"/>
      <c r="T79" s="77"/>
      <c r="U79" s="77"/>
      <c r="V79" s="87"/>
      <c r="W79" s="87"/>
      <c r="X79" s="87"/>
      <c r="Y79" s="77"/>
      <c r="Z79" s="88"/>
      <c r="AA79" s="35"/>
      <c r="AB79" s="35"/>
    </row>
    <row r="80" spans="1:28" x14ac:dyDescent="0.25">
      <c r="A80" s="68" t="str">
        <f t="shared" si="3"/>
        <v>306379</v>
      </c>
      <c r="B80" s="10">
        <f t="shared" si="4"/>
        <v>483.04079999999999</v>
      </c>
      <c r="C80" s="77" t="s">
        <v>4771</v>
      </c>
      <c r="D80" s="191" t="str">
        <f t="shared" si="5"/>
        <v>Místo toho zadávat 552068</v>
      </c>
      <c r="E80" s="77" t="s">
        <v>1047</v>
      </c>
      <c r="F80" s="77" t="s">
        <v>1048</v>
      </c>
      <c r="G80" s="77" t="s">
        <v>1050</v>
      </c>
      <c r="H80" s="77" t="s">
        <v>1049</v>
      </c>
      <c r="I80" s="77" t="s">
        <v>795</v>
      </c>
      <c r="J80" s="90">
        <v>50</v>
      </c>
      <c r="K80" s="91">
        <v>1</v>
      </c>
      <c r="L80" s="77" t="s">
        <v>160</v>
      </c>
      <c r="M80" s="78">
        <v>483.04079999999999</v>
      </c>
      <c r="N80" s="79">
        <v>20.196020000000001</v>
      </c>
      <c r="O80" s="79">
        <v>67.054730000000006</v>
      </c>
      <c r="P80" s="79">
        <v>6145.6909100000003</v>
      </c>
      <c r="Q80" s="77"/>
      <c r="R80" s="77"/>
      <c r="S80" s="77"/>
      <c r="T80" s="77"/>
      <c r="U80" s="77"/>
      <c r="V80" s="87"/>
      <c r="W80" s="87"/>
      <c r="X80" s="87"/>
      <c r="Y80" s="77"/>
      <c r="Z80" s="88"/>
      <c r="AA80" s="35"/>
      <c r="AB80" s="35"/>
    </row>
    <row r="81" spans="1:28" x14ac:dyDescent="0.25">
      <c r="A81" s="68" t="str">
        <f t="shared" si="3"/>
        <v>413587</v>
      </c>
      <c r="B81" s="10">
        <f t="shared" si="4"/>
        <v>1219.3</v>
      </c>
      <c r="C81" s="77" t="s">
        <v>4728</v>
      </c>
      <c r="D81" s="191" t="str">
        <f t="shared" si="5"/>
        <v>Místo toho zadávat 557398</v>
      </c>
      <c r="E81" s="77" t="s">
        <v>6414</v>
      </c>
      <c r="F81" s="77" t="s">
        <v>794</v>
      </c>
      <c r="G81" s="77" t="s">
        <v>794</v>
      </c>
      <c r="H81" s="77" t="s">
        <v>794</v>
      </c>
      <c r="I81" s="77" t="s">
        <v>795</v>
      </c>
      <c r="J81" s="90">
        <v>1</v>
      </c>
      <c r="K81" s="91">
        <v>1</v>
      </c>
      <c r="L81" s="77" t="s">
        <v>6565</v>
      </c>
      <c r="M81" s="78">
        <v>1219.3</v>
      </c>
      <c r="N81" s="79">
        <v>0</v>
      </c>
      <c r="O81" s="79">
        <v>0</v>
      </c>
      <c r="P81" s="79">
        <v>0</v>
      </c>
      <c r="Q81" s="77"/>
      <c r="R81" s="77"/>
      <c r="S81" s="77"/>
      <c r="T81" s="77"/>
      <c r="U81" s="77"/>
      <c r="V81" s="87"/>
      <c r="W81" s="87"/>
      <c r="X81" s="87"/>
      <c r="Y81" s="77"/>
      <c r="Z81" s="88"/>
      <c r="AA81" s="35"/>
      <c r="AB81" s="35"/>
    </row>
    <row r="82" spans="1:28" x14ac:dyDescent="0.25">
      <c r="A82" s="68" t="str">
        <f t="shared" si="3"/>
        <v>378219</v>
      </c>
      <c r="B82" s="10">
        <f t="shared" si="4"/>
        <v>17.324999999999999</v>
      </c>
      <c r="C82" s="77" t="s">
        <v>4772</v>
      </c>
      <c r="D82" s="191" t="str">
        <f t="shared" si="5"/>
        <v>Náhradní baterie CR2025 k dálkovým ovladačům</v>
      </c>
      <c r="E82" s="77" t="s">
        <v>1051</v>
      </c>
      <c r="F82" s="77" t="s">
        <v>1052</v>
      </c>
      <c r="G82" s="77" t="s">
        <v>1054</v>
      </c>
      <c r="H82" s="77" t="s">
        <v>1053</v>
      </c>
      <c r="I82" s="77" t="s">
        <v>795</v>
      </c>
      <c r="J82" s="90">
        <v>5</v>
      </c>
      <c r="K82" s="91">
        <v>1</v>
      </c>
      <c r="L82" s="77" t="s">
        <v>227</v>
      </c>
      <c r="M82" s="78">
        <v>17.324999999999999</v>
      </c>
      <c r="N82" s="79">
        <v>0.73843999999999999</v>
      </c>
      <c r="O82" s="79">
        <v>2.25</v>
      </c>
      <c r="P82" s="79">
        <v>262.5</v>
      </c>
      <c r="Q82" s="77"/>
      <c r="R82" s="77"/>
      <c r="S82" s="77"/>
      <c r="T82" s="77"/>
      <c r="U82" s="77"/>
      <c r="V82" s="87"/>
      <c r="W82" s="87"/>
      <c r="X82" s="87"/>
      <c r="Y82" s="77"/>
      <c r="Z82" s="88"/>
      <c r="AA82" s="35"/>
      <c r="AB82" s="35"/>
    </row>
    <row r="83" spans="1:28" x14ac:dyDescent="0.25">
      <c r="A83" s="68" t="str">
        <f t="shared" si="3"/>
        <v>422141</v>
      </c>
      <c r="B83" s="10">
        <f t="shared" si="4"/>
        <v>1.2936000000000001</v>
      </c>
      <c r="C83" s="77" t="s">
        <v>4773</v>
      </c>
      <c r="D83" s="191" t="str">
        <f t="shared" si="5"/>
        <v>Náhradní vrut k dotykovým vypínačům</v>
      </c>
      <c r="E83" s="77" t="s">
        <v>1055</v>
      </c>
      <c r="F83" s="77" t="s">
        <v>1056</v>
      </c>
      <c r="G83" s="77" t="s">
        <v>1058</v>
      </c>
      <c r="H83" s="77" t="s">
        <v>1057</v>
      </c>
      <c r="I83" s="77" t="s">
        <v>795</v>
      </c>
      <c r="J83" s="90">
        <v>1000</v>
      </c>
      <c r="K83" s="91">
        <v>1</v>
      </c>
      <c r="L83" s="77" t="s">
        <v>6565</v>
      </c>
      <c r="M83" s="78">
        <v>1.2936000000000001</v>
      </c>
      <c r="N83" s="79">
        <v>5.5379999999999999E-2</v>
      </c>
      <c r="O83" s="79">
        <v>0.19181999999999999</v>
      </c>
      <c r="P83" s="79">
        <v>19.096879999999999</v>
      </c>
      <c r="Q83" s="77"/>
      <c r="R83" s="77"/>
      <c r="S83" s="77"/>
      <c r="T83" s="77"/>
      <c r="U83" s="77"/>
      <c r="V83" s="87"/>
      <c r="W83" s="87"/>
      <c r="X83" s="87"/>
      <c r="Y83" s="77"/>
      <c r="Z83" s="88"/>
      <c r="AA83" s="35"/>
      <c r="AB83" s="35"/>
    </row>
    <row r="84" spans="1:28" x14ac:dyDescent="0.25">
      <c r="A84" s="68" t="str">
        <f t="shared" si="3"/>
        <v>530651</v>
      </c>
      <c r="B84" s="10">
        <f t="shared" si="4"/>
        <v>773.95500000000004</v>
      </c>
      <c r="C84" s="77" t="s">
        <v>4774</v>
      </c>
      <c r="D84" s="191" t="str">
        <f t="shared" si="5"/>
        <v>Napájecí zdroj 12V, 30W, IP44</v>
      </c>
      <c r="E84" s="77" t="s">
        <v>1059</v>
      </c>
      <c r="F84" s="77" t="s">
        <v>794</v>
      </c>
      <c r="G84" s="77" t="s">
        <v>794</v>
      </c>
      <c r="H84" s="77" t="s">
        <v>794</v>
      </c>
      <c r="I84" s="77" t="s">
        <v>795</v>
      </c>
      <c r="J84" s="90">
        <v>1</v>
      </c>
      <c r="K84" s="91">
        <v>1</v>
      </c>
      <c r="L84" s="77" t="s">
        <v>6565</v>
      </c>
      <c r="M84" s="78">
        <v>773.95500000000004</v>
      </c>
      <c r="N84" s="79">
        <v>32.261069999999997</v>
      </c>
      <c r="O84" s="79">
        <v>98.851200000000006</v>
      </c>
      <c r="P84" s="79">
        <v>11726.590899999999</v>
      </c>
      <c r="Q84" s="77"/>
      <c r="R84" s="77"/>
      <c r="S84" s="77"/>
      <c r="T84" s="77"/>
      <c r="U84" s="77"/>
      <c r="V84" s="87"/>
      <c r="W84" s="87"/>
      <c r="X84" s="87"/>
      <c r="Y84" s="77"/>
      <c r="Z84" s="88"/>
      <c r="AA84" s="35"/>
      <c r="AB84" s="35"/>
    </row>
    <row r="85" spans="1:28" x14ac:dyDescent="0.25">
      <c r="A85" s="68" t="str">
        <f t="shared" si="3"/>
        <v>522610</v>
      </c>
      <c r="B85" s="10">
        <f t="shared" si="4"/>
        <v>530.14499999999998</v>
      </c>
      <c r="C85" s="77" t="s">
        <v>4775</v>
      </c>
      <c r="D85" s="191" t="str">
        <f t="shared" si="5"/>
        <v>Napájecí zdroj MEAN WELL APV-25-12, 12V, 25W, IP42</v>
      </c>
      <c r="E85" s="77" t="s">
        <v>1060</v>
      </c>
      <c r="F85" s="77" t="s">
        <v>1061</v>
      </c>
      <c r="G85" s="77" t="s">
        <v>1063</v>
      </c>
      <c r="H85" s="77" t="s">
        <v>1062</v>
      </c>
      <c r="I85" s="77" t="s">
        <v>795</v>
      </c>
      <c r="J85" s="90">
        <v>1</v>
      </c>
      <c r="K85" s="91">
        <v>1</v>
      </c>
      <c r="L85" s="77" t="s">
        <v>6565</v>
      </c>
      <c r="M85" s="78">
        <v>530.14499999999998</v>
      </c>
      <c r="N85" s="79">
        <v>22.596340000000001</v>
      </c>
      <c r="O85" s="79">
        <v>68.849999999999994</v>
      </c>
      <c r="P85" s="79">
        <v>7798.6363600000004</v>
      </c>
      <c r="Q85" s="77"/>
      <c r="R85" s="77"/>
      <c r="S85" s="77"/>
      <c r="T85" s="77"/>
      <c r="U85" s="77"/>
      <c r="V85" s="87"/>
      <c r="W85" s="87"/>
      <c r="X85" s="87"/>
      <c r="Y85" s="77"/>
      <c r="Z85" s="88"/>
      <c r="AA85" s="35"/>
      <c r="AB85" s="35"/>
    </row>
    <row r="86" spans="1:28" x14ac:dyDescent="0.25">
      <c r="A86" s="68" t="str">
        <f t="shared" si="3"/>
        <v>231587</v>
      </c>
      <c r="B86" s="10">
        <f t="shared" si="4"/>
        <v>357.52499999999998</v>
      </c>
      <c r="C86" s="77" t="s">
        <v>4776</v>
      </c>
      <c r="D86" s="191" t="str">
        <f t="shared" si="5"/>
        <v>Napájecí zdroj MEAN WELL LPH-18-12, 12V, 18W, IP67</v>
      </c>
      <c r="E86" s="77" t="s">
        <v>1064</v>
      </c>
      <c r="F86" s="77" t="s">
        <v>1065</v>
      </c>
      <c r="G86" s="77" t="s">
        <v>1067</v>
      </c>
      <c r="H86" s="77" t="s">
        <v>1066</v>
      </c>
      <c r="I86" s="77" t="s">
        <v>795</v>
      </c>
      <c r="J86" s="90">
        <v>1</v>
      </c>
      <c r="K86" s="91">
        <v>1</v>
      </c>
      <c r="L86" s="77" t="s">
        <v>6565</v>
      </c>
      <c r="M86" s="78">
        <v>357.52499999999998</v>
      </c>
      <c r="N86" s="79">
        <v>15.23878</v>
      </c>
      <c r="O86" s="79">
        <v>46.431820000000002</v>
      </c>
      <c r="P86" s="79">
        <v>5259.5454499999996</v>
      </c>
      <c r="Q86" s="77"/>
      <c r="R86" s="77"/>
      <c r="S86" s="77"/>
      <c r="T86" s="77"/>
      <c r="U86" s="77"/>
      <c r="V86" s="87"/>
      <c r="W86" s="87"/>
      <c r="X86" s="87"/>
      <c r="Y86" s="77"/>
      <c r="Z86" s="88"/>
      <c r="AA86" s="35"/>
      <c r="AB86" s="35"/>
    </row>
    <row r="87" spans="1:28" x14ac:dyDescent="0.25">
      <c r="A87" s="68" t="str">
        <f t="shared" si="3"/>
        <v>392297</v>
      </c>
      <c r="B87" s="10">
        <f t="shared" si="4"/>
        <v>357.52499999999998</v>
      </c>
      <c r="C87" s="77" t="s">
        <v>4777</v>
      </c>
      <c r="D87" s="191" t="str">
        <f t="shared" si="5"/>
        <v>Napájecí zdroj MEAN WELL LPH-18-24, 24V, 18W, IP67</v>
      </c>
      <c r="E87" s="77" t="s">
        <v>1068</v>
      </c>
      <c r="F87" s="77" t="s">
        <v>1069</v>
      </c>
      <c r="G87" s="77" t="s">
        <v>1071</v>
      </c>
      <c r="H87" s="77" t="s">
        <v>1070</v>
      </c>
      <c r="I87" s="77" t="s">
        <v>795</v>
      </c>
      <c r="J87" s="90">
        <v>1</v>
      </c>
      <c r="K87" s="91">
        <v>1</v>
      </c>
      <c r="L87" s="77" t="s">
        <v>6565</v>
      </c>
      <c r="M87" s="78">
        <v>357.52499999999998</v>
      </c>
      <c r="N87" s="79">
        <v>15.23878</v>
      </c>
      <c r="O87" s="79">
        <v>46.431820000000002</v>
      </c>
      <c r="P87" s="79">
        <v>5259.5454499999996</v>
      </c>
      <c r="Q87" s="77"/>
      <c r="R87" s="77"/>
      <c r="S87" s="77"/>
      <c r="T87" s="77"/>
      <c r="U87" s="77"/>
      <c r="V87" s="87"/>
      <c r="W87" s="87"/>
      <c r="X87" s="87"/>
      <c r="Y87" s="77"/>
      <c r="Z87" s="88"/>
      <c r="AA87" s="35"/>
      <c r="AB87" s="35"/>
    </row>
    <row r="88" spans="1:28" x14ac:dyDescent="0.25">
      <c r="A88" s="68" t="str">
        <f t="shared" si="3"/>
        <v>509799</v>
      </c>
      <c r="B88" s="10">
        <f t="shared" si="4"/>
        <v>1085.175</v>
      </c>
      <c r="C88" s="77" t="s">
        <v>4778</v>
      </c>
      <c r="D88" s="191" t="str">
        <f t="shared" si="5"/>
        <v>Napájecí zdroj MEAN WELL LPV-100-12, 12V, 100W, IP67</v>
      </c>
      <c r="E88" s="77" t="s">
        <v>1072</v>
      </c>
      <c r="F88" s="77" t="s">
        <v>1073</v>
      </c>
      <c r="G88" s="77" t="s">
        <v>1075</v>
      </c>
      <c r="H88" s="77" t="s">
        <v>1074</v>
      </c>
      <c r="I88" s="77" t="s">
        <v>795</v>
      </c>
      <c r="J88" s="90">
        <v>1</v>
      </c>
      <c r="K88" s="91">
        <v>1</v>
      </c>
      <c r="L88" s="77" t="s">
        <v>6565</v>
      </c>
      <c r="M88" s="78">
        <v>1085.175</v>
      </c>
      <c r="N88" s="79">
        <v>46.253340000000001</v>
      </c>
      <c r="O88" s="79">
        <v>140.93181999999999</v>
      </c>
      <c r="P88" s="79">
        <v>15960</v>
      </c>
      <c r="Q88" s="77"/>
      <c r="R88" s="77"/>
      <c r="S88" s="77"/>
      <c r="T88" s="77"/>
      <c r="U88" s="77"/>
      <c r="V88" s="87"/>
      <c r="W88" s="87"/>
      <c r="X88" s="87"/>
      <c r="Y88" s="77"/>
      <c r="Z88" s="88"/>
      <c r="AA88" s="35"/>
      <c r="AB88" s="35"/>
    </row>
    <row r="89" spans="1:28" x14ac:dyDescent="0.25">
      <c r="A89" s="68" t="str">
        <f t="shared" si="3"/>
        <v>304019</v>
      </c>
      <c r="B89" s="10">
        <f t="shared" si="4"/>
        <v>1085.175</v>
      </c>
      <c r="C89" s="77" t="s">
        <v>4779</v>
      </c>
      <c r="D89" s="191" t="str">
        <f t="shared" si="5"/>
        <v>Napájecí zdroj MEAN WELL LPV-100-24, 24V, 100W, IP67</v>
      </c>
      <c r="E89" s="77" t="s">
        <v>1076</v>
      </c>
      <c r="F89" s="77" t="s">
        <v>1077</v>
      </c>
      <c r="G89" s="77" t="s">
        <v>1079</v>
      </c>
      <c r="H89" s="77" t="s">
        <v>1078</v>
      </c>
      <c r="I89" s="77" t="s">
        <v>795</v>
      </c>
      <c r="J89" s="90">
        <v>1</v>
      </c>
      <c r="K89" s="91">
        <v>1</v>
      </c>
      <c r="L89" s="77" t="s">
        <v>6565</v>
      </c>
      <c r="M89" s="78">
        <v>1085.175</v>
      </c>
      <c r="N89" s="79">
        <v>46.253340000000001</v>
      </c>
      <c r="O89" s="79">
        <v>140.93181999999999</v>
      </c>
      <c r="P89" s="79">
        <v>15960</v>
      </c>
      <c r="Q89" s="77"/>
      <c r="R89" s="77"/>
      <c r="S89" s="77"/>
      <c r="T89" s="77"/>
      <c r="U89" s="77"/>
      <c r="V89" s="87"/>
      <c r="W89" s="87"/>
      <c r="X89" s="87"/>
      <c r="Y89" s="77"/>
      <c r="Z89" s="88"/>
      <c r="AA89" s="35"/>
      <c r="AB89" s="35"/>
    </row>
    <row r="90" spans="1:28" x14ac:dyDescent="0.25">
      <c r="A90" s="68" t="str">
        <f t="shared" si="3"/>
        <v>231591</v>
      </c>
      <c r="B90" s="10">
        <f t="shared" si="4"/>
        <v>580.86</v>
      </c>
      <c r="C90" s="77" t="s">
        <v>4780</v>
      </c>
      <c r="D90" s="191" t="str">
        <f t="shared" si="5"/>
        <v>Napájecí zdroj MEAN WELL LPV-35-12, 12V, 35W, IP67</v>
      </c>
      <c r="E90" s="77" t="s">
        <v>1080</v>
      </c>
      <c r="F90" s="77" t="s">
        <v>1081</v>
      </c>
      <c r="G90" s="77" t="s">
        <v>1083</v>
      </c>
      <c r="H90" s="77" t="s">
        <v>1082</v>
      </c>
      <c r="I90" s="77" t="s">
        <v>795</v>
      </c>
      <c r="J90" s="90">
        <v>1</v>
      </c>
      <c r="K90" s="91">
        <v>1</v>
      </c>
      <c r="L90" s="77" t="s">
        <v>6565</v>
      </c>
      <c r="M90" s="78">
        <v>580.86</v>
      </c>
      <c r="N90" s="79">
        <v>24.757960000000001</v>
      </c>
      <c r="O90" s="79">
        <v>75.436359999999993</v>
      </c>
      <c r="P90" s="79">
        <v>8543.18181</v>
      </c>
      <c r="Q90" s="77"/>
      <c r="R90" s="77"/>
      <c r="S90" s="77"/>
      <c r="T90" s="77"/>
      <c r="U90" s="77"/>
      <c r="V90" s="87"/>
      <c r="W90" s="87"/>
      <c r="X90" s="87"/>
      <c r="Y90" s="77"/>
      <c r="Z90" s="88"/>
      <c r="AA90" s="35"/>
      <c r="AB90" s="35"/>
    </row>
    <row r="91" spans="1:28" x14ac:dyDescent="0.25">
      <c r="A91" s="68" t="str">
        <f t="shared" si="3"/>
        <v>317495</v>
      </c>
      <c r="B91" s="10">
        <f t="shared" si="4"/>
        <v>580.86</v>
      </c>
      <c r="C91" s="77" t="s">
        <v>4781</v>
      </c>
      <c r="D91" s="191" t="str">
        <f t="shared" si="5"/>
        <v>Napájecí zdroj MEAN WELL LPV-35-24, 24V, 35W, IP67</v>
      </c>
      <c r="E91" s="77" t="s">
        <v>1084</v>
      </c>
      <c r="F91" s="77" t="s">
        <v>1085</v>
      </c>
      <c r="G91" s="77" t="s">
        <v>1087</v>
      </c>
      <c r="H91" s="77" t="s">
        <v>1086</v>
      </c>
      <c r="I91" s="77" t="s">
        <v>795</v>
      </c>
      <c r="J91" s="90">
        <v>1</v>
      </c>
      <c r="K91" s="91">
        <v>1</v>
      </c>
      <c r="L91" s="77" t="s">
        <v>6565</v>
      </c>
      <c r="M91" s="78">
        <v>580.86</v>
      </c>
      <c r="N91" s="79">
        <v>24.757960000000001</v>
      </c>
      <c r="O91" s="79">
        <v>75.436359999999993</v>
      </c>
      <c r="P91" s="79">
        <v>8543.18181</v>
      </c>
      <c r="Q91" s="77"/>
      <c r="R91" s="77"/>
      <c r="S91" s="77"/>
      <c r="T91" s="77"/>
      <c r="U91" s="77"/>
      <c r="V91" s="87"/>
      <c r="W91" s="87"/>
      <c r="X91" s="87"/>
      <c r="Y91" s="77"/>
      <c r="Z91" s="88"/>
      <c r="AA91" s="35"/>
      <c r="AB91" s="35"/>
    </row>
    <row r="92" spans="1:28" x14ac:dyDescent="0.25">
      <c r="A92" s="68" t="str">
        <f t="shared" si="3"/>
        <v>231592</v>
      </c>
      <c r="B92" s="10">
        <f t="shared" si="4"/>
        <v>651.73500000000001</v>
      </c>
      <c r="C92" s="77" t="s">
        <v>4782</v>
      </c>
      <c r="D92" s="191" t="str">
        <f t="shared" si="5"/>
        <v>Napájecí zdroj MEAN WELL LPV-60-12, 12V, 60W, IP67</v>
      </c>
      <c r="E92" s="77" t="s">
        <v>1088</v>
      </c>
      <c r="F92" s="77" t="s">
        <v>1089</v>
      </c>
      <c r="G92" s="77" t="s">
        <v>1091</v>
      </c>
      <c r="H92" s="77" t="s">
        <v>1090</v>
      </c>
      <c r="I92" s="77" t="s">
        <v>795</v>
      </c>
      <c r="J92" s="90">
        <v>1</v>
      </c>
      <c r="K92" s="91">
        <v>1</v>
      </c>
      <c r="L92" s="77" t="s">
        <v>6565</v>
      </c>
      <c r="M92" s="78">
        <v>651.73500000000001</v>
      </c>
      <c r="N92" s="79">
        <v>27.778880000000001</v>
      </c>
      <c r="O92" s="79">
        <v>84.640919999999994</v>
      </c>
      <c r="P92" s="79">
        <v>9588.4091000000008</v>
      </c>
      <c r="Q92" s="77"/>
      <c r="R92" s="77"/>
      <c r="S92" s="77"/>
      <c r="T92" s="77"/>
      <c r="U92" s="77"/>
      <c r="V92" s="87"/>
      <c r="W92" s="87"/>
      <c r="X92" s="87"/>
      <c r="Y92" s="77"/>
      <c r="Z92" s="88"/>
      <c r="AA92" s="35"/>
      <c r="AB92" s="35"/>
    </row>
    <row r="93" spans="1:28" x14ac:dyDescent="0.25">
      <c r="A93" s="68" t="str">
        <f t="shared" si="3"/>
        <v>317494</v>
      </c>
      <c r="B93" s="10">
        <f t="shared" si="4"/>
        <v>651.73500000000001</v>
      </c>
      <c r="C93" s="77" t="s">
        <v>4783</v>
      </c>
      <c r="D93" s="191" t="str">
        <f t="shared" si="5"/>
        <v>Napájecí zdroj MEAN WELL LPV-60-24, 24V, 60W, IP67</v>
      </c>
      <c r="E93" s="77" t="s">
        <v>1092</v>
      </c>
      <c r="F93" s="77" t="s">
        <v>1093</v>
      </c>
      <c r="G93" s="77" t="s">
        <v>1095</v>
      </c>
      <c r="H93" s="77" t="s">
        <v>1094</v>
      </c>
      <c r="I93" s="77" t="s">
        <v>795</v>
      </c>
      <c r="J93" s="90">
        <v>1</v>
      </c>
      <c r="K93" s="91">
        <v>1</v>
      </c>
      <c r="L93" s="77" t="s">
        <v>6565</v>
      </c>
      <c r="M93" s="78">
        <v>651.73500000000001</v>
      </c>
      <c r="N93" s="79">
        <v>27.778880000000001</v>
      </c>
      <c r="O93" s="79">
        <v>84.640919999999994</v>
      </c>
      <c r="P93" s="79">
        <v>9588.4091000000008</v>
      </c>
      <c r="Q93" s="77"/>
      <c r="R93" s="77"/>
      <c r="S93" s="77"/>
      <c r="T93" s="77"/>
      <c r="U93" s="77"/>
      <c r="V93" s="87"/>
      <c r="W93" s="87"/>
      <c r="X93" s="87"/>
      <c r="Y93" s="77"/>
      <c r="Z93" s="88"/>
      <c r="AA93" s="35"/>
      <c r="AB93" s="35"/>
    </row>
    <row r="94" spans="1:28" x14ac:dyDescent="0.25">
      <c r="A94" s="68" t="str">
        <f t="shared" ref="A94:A157" si="6">C94</f>
        <v>515506</v>
      </c>
      <c r="B94" s="10">
        <f t="shared" si="4"/>
        <v>359.25749999999999</v>
      </c>
      <c r="C94" s="77" t="s">
        <v>4784</v>
      </c>
      <c r="D94" s="191" t="str">
        <f t="shared" si="5"/>
        <v>Nástěnné svítidlo MAFA-NB černé</v>
      </c>
      <c r="E94" s="77" t="s">
        <v>1096</v>
      </c>
      <c r="F94" s="77" t="s">
        <v>794</v>
      </c>
      <c r="G94" s="77" t="s">
        <v>794</v>
      </c>
      <c r="H94" s="77" t="s">
        <v>794</v>
      </c>
      <c r="I94" s="77" t="s">
        <v>795</v>
      </c>
      <c r="J94" s="90">
        <v>5</v>
      </c>
      <c r="K94" s="91">
        <v>1</v>
      </c>
      <c r="L94" s="77" t="s">
        <v>6565</v>
      </c>
      <c r="M94" s="78">
        <v>359.25749999999999</v>
      </c>
      <c r="N94" s="79">
        <v>16.222919999999998</v>
      </c>
      <c r="O94" s="79">
        <v>50.078940000000003</v>
      </c>
      <c r="P94" s="79">
        <v>5896.8813700000001</v>
      </c>
      <c r="Q94" s="77"/>
      <c r="R94" s="77"/>
      <c r="S94" s="77"/>
      <c r="T94" s="77"/>
      <c r="U94" s="77"/>
      <c r="V94" s="87"/>
      <c r="W94" s="87"/>
      <c r="X94" s="87"/>
      <c r="Y94" s="77"/>
      <c r="Z94" s="88"/>
      <c r="AA94" s="35"/>
      <c r="AB94" s="35"/>
    </row>
    <row r="95" spans="1:28" x14ac:dyDescent="0.25">
      <c r="A95" s="68" t="str">
        <f t="shared" si="6"/>
        <v>527903</v>
      </c>
      <c r="B95" s="10">
        <f t="shared" si="4"/>
        <v>9900.1012499999997</v>
      </c>
      <c r="C95" s="77" t="s">
        <v>4785</v>
      </c>
      <c r="D95" s="191" t="str">
        <f t="shared" si="5"/>
        <v>Osvětlené zrcadlo  1100 x 550mm Classic Line</v>
      </c>
      <c r="E95" s="77" t="s">
        <v>1097</v>
      </c>
      <c r="F95" s="77" t="s">
        <v>794</v>
      </c>
      <c r="G95" s="77" t="s">
        <v>794</v>
      </c>
      <c r="H95" s="77" t="s">
        <v>794</v>
      </c>
      <c r="I95" s="77" t="s">
        <v>795</v>
      </c>
      <c r="J95" s="90">
        <v>1</v>
      </c>
      <c r="K95" s="91">
        <v>1</v>
      </c>
      <c r="L95" s="77" t="s">
        <v>6565</v>
      </c>
      <c r="M95" s="78">
        <v>9900.1012499999997</v>
      </c>
      <c r="N95" s="79">
        <v>444.41338000000002</v>
      </c>
      <c r="O95" s="79">
        <v>1686.8147899999999</v>
      </c>
      <c r="P95" s="79">
        <v>160715.92937999999</v>
      </c>
      <c r="Q95" s="77"/>
      <c r="R95" s="77"/>
      <c r="S95" s="77"/>
      <c r="T95" s="77"/>
      <c r="U95" s="77"/>
      <c r="V95" s="87"/>
      <c r="W95" s="87"/>
      <c r="X95" s="87"/>
      <c r="Y95" s="77"/>
      <c r="Z95" s="88"/>
      <c r="AA95" s="35"/>
      <c r="AB95" s="35"/>
    </row>
    <row r="96" spans="1:28" x14ac:dyDescent="0.25">
      <c r="A96" s="68" t="str">
        <f t="shared" si="6"/>
        <v>520416</v>
      </c>
      <c r="B96" s="10">
        <f t="shared" ref="B96:B159" si="7">IF($B$1=1,M96,IF($B$1=2,N96,IF($B$1=3,O96,IF($B$1=4,P96))))</f>
        <v>7315.1324999999997</v>
      </c>
      <c r="C96" s="77" t="s">
        <v>4786</v>
      </c>
      <c r="D96" s="191" t="str">
        <f t="shared" si="5"/>
        <v>Osvětlené zrcadlo 1000 x 550mm Simple Line Vertical</v>
      </c>
      <c r="E96" s="77" t="s">
        <v>1098</v>
      </c>
      <c r="F96" s="77" t="s">
        <v>794</v>
      </c>
      <c r="G96" s="77" t="s">
        <v>794</v>
      </c>
      <c r="H96" s="77" t="s">
        <v>794</v>
      </c>
      <c r="I96" s="77" t="s">
        <v>795</v>
      </c>
      <c r="J96" s="90">
        <v>1</v>
      </c>
      <c r="K96" s="91">
        <v>1</v>
      </c>
      <c r="L96" s="77" t="s">
        <v>6565</v>
      </c>
      <c r="M96" s="78">
        <v>7315.1324999999997</v>
      </c>
      <c r="N96" s="79">
        <v>328.37468000000001</v>
      </c>
      <c r="O96" s="79">
        <v>1199.95182</v>
      </c>
      <c r="P96" s="79">
        <v>118752.15098000001</v>
      </c>
      <c r="Q96" s="77"/>
      <c r="R96" s="77"/>
      <c r="S96" s="77"/>
      <c r="T96" s="77"/>
      <c r="U96" s="77"/>
      <c r="V96" s="87"/>
      <c r="W96" s="87"/>
      <c r="X96" s="87"/>
      <c r="Y96" s="77"/>
      <c r="Z96" s="88"/>
      <c r="AA96" s="35"/>
      <c r="AB96" s="35"/>
    </row>
    <row r="97" spans="1:28" x14ac:dyDescent="0.25">
      <c r="A97" s="68" t="str">
        <f t="shared" si="6"/>
        <v>545396</v>
      </c>
      <c r="B97" s="10">
        <f t="shared" si="7"/>
        <v>9853.2000000000007</v>
      </c>
      <c r="C97" s="77" t="s">
        <v>4787</v>
      </c>
      <c r="D97" s="191" t="str">
        <f t="shared" si="5"/>
        <v>Osvětlené zrcadlo 1000x500mm Portal Line Backlight černá mat neutrální bílá</v>
      </c>
      <c r="E97" s="77" t="s">
        <v>1099</v>
      </c>
      <c r="F97" s="77" t="s">
        <v>794</v>
      </c>
      <c r="G97" s="77" t="s">
        <v>794</v>
      </c>
      <c r="H97" s="77" t="s">
        <v>794</v>
      </c>
      <c r="I97" s="77" t="s">
        <v>795</v>
      </c>
      <c r="J97" s="90">
        <v>1</v>
      </c>
      <c r="K97" s="91">
        <v>1</v>
      </c>
      <c r="L97" s="77" t="s">
        <v>6565</v>
      </c>
      <c r="M97" s="78">
        <v>9853.2000000000007</v>
      </c>
      <c r="N97" s="79">
        <v>449.51463000000001</v>
      </c>
      <c r="O97" s="79">
        <v>1644.3979899999999</v>
      </c>
      <c r="P97" s="79">
        <v>160475.57003</v>
      </c>
      <c r="Q97" s="77"/>
      <c r="R97" s="77"/>
      <c r="S97" s="77"/>
      <c r="T97" s="77"/>
      <c r="U97" s="77"/>
      <c r="V97" s="87"/>
      <c r="W97" s="87"/>
      <c r="X97" s="87"/>
      <c r="Y97" s="77"/>
      <c r="Z97" s="88"/>
      <c r="AA97" s="35"/>
      <c r="AB97" s="35"/>
    </row>
    <row r="98" spans="1:28" x14ac:dyDescent="0.25">
      <c r="A98" s="68" t="str">
        <f t="shared" si="6"/>
        <v>545397</v>
      </c>
      <c r="B98" s="10">
        <f t="shared" si="7"/>
        <v>9853.2000000000007</v>
      </c>
      <c r="C98" s="77" t="s">
        <v>4788</v>
      </c>
      <c r="D98" s="191" t="str">
        <f t="shared" si="5"/>
        <v>Osvětlené zrcadlo 1000x500mm Portal Line Backlight černá mat studená bílá</v>
      </c>
      <c r="E98" s="77" t="s">
        <v>1100</v>
      </c>
      <c r="F98" s="77" t="s">
        <v>794</v>
      </c>
      <c r="G98" s="77" t="s">
        <v>794</v>
      </c>
      <c r="H98" s="77" t="s">
        <v>794</v>
      </c>
      <c r="I98" s="77" t="s">
        <v>795</v>
      </c>
      <c r="J98" s="90">
        <v>1</v>
      </c>
      <c r="K98" s="91">
        <v>1</v>
      </c>
      <c r="L98" s="77" t="s">
        <v>6565</v>
      </c>
      <c r="M98" s="78">
        <v>9853.2000000000007</v>
      </c>
      <c r="N98" s="79">
        <v>449.51463000000001</v>
      </c>
      <c r="O98" s="79">
        <v>1644.3979899999999</v>
      </c>
      <c r="P98" s="79">
        <v>160475.57003</v>
      </c>
      <c r="Q98" s="77"/>
      <c r="R98" s="77"/>
      <c r="S98" s="77"/>
      <c r="T98" s="77"/>
      <c r="U98" s="77"/>
      <c r="V98" s="87"/>
      <c r="W98" s="87"/>
      <c r="X98" s="87"/>
      <c r="Y98" s="77"/>
      <c r="Z98" s="88"/>
      <c r="AA98" s="35"/>
      <c r="AB98" s="35"/>
    </row>
    <row r="99" spans="1:28" x14ac:dyDescent="0.25">
      <c r="A99" s="68" t="str">
        <f t="shared" si="6"/>
        <v>545395</v>
      </c>
      <c r="B99" s="10">
        <f t="shared" si="7"/>
        <v>9853.2000000000007</v>
      </c>
      <c r="C99" s="77" t="s">
        <v>4789</v>
      </c>
      <c r="D99" s="191" t="str">
        <f t="shared" si="5"/>
        <v>Osvětlené zrcadlo 1000x500mm Portal Line Backlight černá mat teplá bílá</v>
      </c>
      <c r="E99" s="77" t="s">
        <v>1101</v>
      </c>
      <c r="F99" s="77" t="s">
        <v>794</v>
      </c>
      <c r="G99" s="77" t="s">
        <v>794</v>
      </c>
      <c r="H99" s="77" t="s">
        <v>794</v>
      </c>
      <c r="I99" s="77" t="s">
        <v>795</v>
      </c>
      <c r="J99" s="90">
        <v>1</v>
      </c>
      <c r="K99" s="91">
        <v>1</v>
      </c>
      <c r="L99" s="77" t="s">
        <v>6565</v>
      </c>
      <c r="M99" s="78">
        <v>9853.2000000000007</v>
      </c>
      <c r="N99" s="79">
        <v>449.51463000000001</v>
      </c>
      <c r="O99" s="79">
        <v>1644.3979899999999</v>
      </c>
      <c r="P99" s="79">
        <v>160475.57003</v>
      </c>
      <c r="Q99" s="77"/>
      <c r="R99" s="77"/>
      <c r="S99" s="77"/>
      <c r="T99" s="77"/>
      <c r="U99" s="77"/>
      <c r="V99" s="87"/>
      <c r="W99" s="87"/>
      <c r="X99" s="87"/>
      <c r="Y99" s="77"/>
      <c r="Z99" s="88"/>
      <c r="AA99" s="35"/>
      <c r="AB99" s="35"/>
    </row>
    <row r="100" spans="1:28" x14ac:dyDescent="0.25">
      <c r="A100" s="68" t="str">
        <f t="shared" si="6"/>
        <v>531239</v>
      </c>
      <c r="B100" s="10">
        <f t="shared" si="7"/>
        <v>11818.17</v>
      </c>
      <c r="C100" s="77" t="s">
        <v>4790</v>
      </c>
      <c r="D100" s="191" t="str">
        <f t="shared" si="5"/>
        <v>Osvětlené zrcadlo 1340 x 785mm Simple Line Vertical</v>
      </c>
      <c r="E100" s="77" t="s">
        <v>1102</v>
      </c>
      <c r="F100" s="77" t="s">
        <v>1103</v>
      </c>
      <c r="G100" s="77" t="s">
        <v>1105</v>
      </c>
      <c r="H100" s="77" t="s">
        <v>1104</v>
      </c>
      <c r="I100" s="77" t="s">
        <v>795</v>
      </c>
      <c r="J100" s="90">
        <v>1</v>
      </c>
      <c r="K100" s="91">
        <v>1</v>
      </c>
      <c r="L100" s="77" t="s">
        <v>6565</v>
      </c>
      <c r="M100" s="78">
        <v>11818.17</v>
      </c>
      <c r="N100" s="79">
        <v>530.51504999999997</v>
      </c>
      <c r="O100" s="79">
        <v>1938.6162400000001</v>
      </c>
      <c r="P100" s="79">
        <v>191853.40909999999</v>
      </c>
      <c r="Q100" s="77"/>
      <c r="R100" s="77"/>
      <c r="S100" s="77"/>
      <c r="T100" s="77"/>
      <c r="U100" s="77"/>
      <c r="V100" s="87"/>
      <c r="W100" s="87"/>
      <c r="X100" s="87"/>
      <c r="Y100" s="77"/>
      <c r="Z100" s="88"/>
      <c r="AA100" s="35"/>
      <c r="AB100" s="35"/>
    </row>
    <row r="101" spans="1:28" x14ac:dyDescent="0.25">
      <c r="A101" s="68" t="str">
        <f t="shared" si="6"/>
        <v>545399</v>
      </c>
      <c r="B101" s="10">
        <f t="shared" si="7"/>
        <v>11163.05</v>
      </c>
      <c r="C101" s="77" t="s">
        <v>4791</v>
      </c>
      <c r="D101" s="191" t="str">
        <f t="shared" si="5"/>
        <v>Osvětlené zrcadlo 1400x500mm Portal Line Backlight černá mat neutrální bílá</v>
      </c>
      <c r="E101" s="77" t="s">
        <v>1106</v>
      </c>
      <c r="F101" s="77" t="s">
        <v>794</v>
      </c>
      <c r="G101" s="77" t="s">
        <v>794</v>
      </c>
      <c r="H101" s="77" t="s">
        <v>794</v>
      </c>
      <c r="I101" s="77" t="s">
        <v>795</v>
      </c>
      <c r="J101" s="90">
        <v>1</v>
      </c>
      <c r="K101" s="91">
        <v>1</v>
      </c>
      <c r="L101" s="77" t="s">
        <v>6565</v>
      </c>
      <c r="M101" s="78">
        <v>11163.05</v>
      </c>
      <c r="N101" s="79">
        <v>509.27152999999998</v>
      </c>
      <c r="O101" s="79">
        <v>1862.9984899999999</v>
      </c>
      <c r="P101" s="79">
        <v>181808.63193</v>
      </c>
      <c r="Q101" s="77"/>
      <c r="R101" s="77"/>
      <c r="S101" s="77"/>
      <c r="T101" s="77"/>
      <c r="U101" s="77"/>
      <c r="V101" s="87"/>
      <c r="W101" s="87"/>
      <c r="X101" s="87"/>
      <c r="Y101" s="77"/>
      <c r="Z101" s="88"/>
      <c r="AA101" s="35"/>
      <c r="AB101" s="35"/>
    </row>
    <row r="102" spans="1:28" x14ac:dyDescent="0.25">
      <c r="A102" s="68" t="str">
        <f t="shared" si="6"/>
        <v>545400</v>
      </c>
      <c r="B102" s="10">
        <f t="shared" si="7"/>
        <v>11163.05</v>
      </c>
      <c r="C102" s="77" t="s">
        <v>4792</v>
      </c>
      <c r="D102" s="191" t="str">
        <f t="shared" si="5"/>
        <v>Osvětlené zrcadlo 1400x500mm Portal Line Backlight černá mat studená bílá</v>
      </c>
      <c r="E102" s="77" t="s">
        <v>1107</v>
      </c>
      <c r="F102" s="77" t="s">
        <v>794</v>
      </c>
      <c r="G102" s="77" t="s">
        <v>794</v>
      </c>
      <c r="H102" s="77" t="s">
        <v>794</v>
      </c>
      <c r="I102" s="77" t="s">
        <v>795</v>
      </c>
      <c r="J102" s="90">
        <v>1</v>
      </c>
      <c r="K102" s="91">
        <v>1</v>
      </c>
      <c r="L102" s="77" t="s">
        <v>6565</v>
      </c>
      <c r="M102" s="78">
        <v>11163.05</v>
      </c>
      <c r="N102" s="79">
        <v>509.27152999999998</v>
      </c>
      <c r="O102" s="79">
        <v>1862.9984899999999</v>
      </c>
      <c r="P102" s="79">
        <v>181808.63193</v>
      </c>
      <c r="Q102" s="77"/>
      <c r="R102" s="77"/>
      <c r="S102" s="77"/>
      <c r="T102" s="77"/>
      <c r="U102" s="77"/>
      <c r="V102" s="87"/>
      <c r="W102" s="87"/>
      <c r="X102" s="87"/>
      <c r="Y102" s="77"/>
      <c r="Z102" s="88"/>
      <c r="AA102" s="35"/>
      <c r="AB102" s="35"/>
    </row>
    <row r="103" spans="1:28" x14ac:dyDescent="0.25">
      <c r="A103" s="68" t="str">
        <f t="shared" si="6"/>
        <v>545398</v>
      </c>
      <c r="B103" s="10">
        <f t="shared" si="7"/>
        <v>11163.05</v>
      </c>
      <c r="C103" s="77" t="s">
        <v>4793</v>
      </c>
      <c r="D103" s="191" t="str">
        <f t="shared" si="5"/>
        <v>Osvětlené zrcadlo 1400x500mm Portal Line Backlight černá mat teplá bílá</v>
      </c>
      <c r="E103" s="77" t="s">
        <v>1108</v>
      </c>
      <c r="F103" s="77" t="s">
        <v>794</v>
      </c>
      <c r="G103" s="77" t="s">
        <v>794</v>
      </c>
      <c r="H103" s="77" t="s">
        <v>794</v>
      </c>
      <c r="I103" s="77" t="s">
        <v>795</v>
      </c>
      <c r="J103" s="90">
        <v>1</v>
      </c>
      <c r="K103" s="91">
        <v>1</v>
      </c>
      <c r="L103" s="77" t="s">
        <v>6565</v>
      </c>
      <c r="M103" s="78">
        <v>11163.05</v>
      </c>
      <c r="N103" s="79">
        <v>509.27152999999998</v>
      </c>
      <c r="O103" s="79">
        <v>1862.9984899999999</v>
      </c>
      <c r="P103" s="79">
        <v>181808.63193</v>
      </c>
      <c r="Q103" s="77"/>
      <c r="R103" s="77"/>
      <c r="S103" s="77"/>
      <c r="T103" s="77"/>
      <c r="U103" s="77"/>
      <c r="V103" s="87"/>
      <c r="W103" s="87"/>
      <c r="X103" s="87"/>
      <c r="Y103" s="77"/>
      <c r="Z103" s="88"/>
      <c r="AA103" s="35"/>
      <c r="AB103" s="35"/>
    </row>
    <row r="104" spans="1:28" x14ac:dyDescent="0.25">
      <c r="A104" s="68" t="str">
        <f t="shared" si="6"/>
        <v>545264</v>
      </c>
      <c r="B104" s="10">
        <f t="shared" si="7"/>
        <v>6291.9375</v>
      </c>
      <c r="C104" s="77" t="s">
        <v>4794</v>
      </c>
      <c r="D104" s="191" t="str">
        <f t="shared" si="5"/>
        <v>Osvětlené zrcadlo 450 x 1350mm Simple Line Vertical</v>
      </c>
      <c r="E104" s="77" t="s">
        <v>1109</v>
      </c>
      <c r="F104" s="77" t="s">
        <v>1110</v>
      </c>
      <c r="G104" s="77" t="s">
        <v>1112</v>
      </c>
      <c r="H104" s="77" t="s">
        <v>1111</v>
      </c>
      <c r="I104" s="77" t="s">
        <v>795</v>
      </c>
      <c r="J104" s="90">
        <v>1</v>
      </c>
      <c r="K104" s="91">
        <v>1</v>
      </c>
      <c r="L104" s="77" t="s">
        <v>6565</v>
      </c>
      <c r="M104" s="78">
        <v>6291.9375</v>
      </c>
      <c r="N104" s="79">
        <v>0</v>
      </c>
      <c r="O104" s="79">
        <v>1051.16281</v>
      </c>
      <c r="P104" s="79">
        <v>102474.55213</v>
      </c>
      <c r="Q104" s="77"/>
      <c r="R104" s="77"/>
      <c r="S104" s="77"/>
      <c r="T104" s="77"/>
      <c r="U104" s="77"/>
      <c r="V104" s="87"/>
      <c r="W104" s="87"/>
      <c r="X104" s="87"/>
      <c r="Y104" s="77"/>
      <c r="Z104" s="88"/>
      <c r="AA104" s="35"/>
      <c r="AB104" s="35"/>
    </row>
    <row r="105" spans="1:28" x14ac:dyDescent="0.25">
      <c r="A105" s="68" t="str">
        <f t="shared" si="6"/>
        <v>541711</v>
      </c>
      <c r="B105" s="10">
        <f t="shared" si="7"/>
        <v>9688.6237500000007</v>
      </c>
      <c r="C105" s="77" t="s">
        <v>4795</v>
      </c>
      <c r="D105" s="191" t="str">
        <f t="shared" si="5"/>
        <v>Osvětlené zrcadlo 800 x 650mm Classic Line</v>
      </c>
      <c r="E105" s="77" t="s">
        <v>1113</v>
      </c>
      <c r="F105" s="77" t="s">
        <v>794</v>
      </c>
      <c r="G105" s="77" t="s">
        <v>794</v>
      </c>
      <c r="H105" s="77" t="s">
        <v>794</v>
      </c>
      <c r="I105" s="77" t="s">
        <v>795</v>
      </c>
      <c r="J105" s="90">
        <v>1</v>
      </c>
      <c r="K105" s="91">
        <v>1</v>
      </c>
      <c r="L105" s="77" t="s">
        <v>6565</v>
      </c>
      <c r="M105" s="78">
        <v>9688.6237500000007</v>
      </c>
      <c r="N105" s="79">
        <v>434.92020000000002</v>
      </c>
      <c r="O105" s="79">
        <v>1589.2920300000001</v>
      </c>
      <c r="P105" s="79">
        <v>157282.85308</v>
      </c>
      <c r="Q105" s="77"/>
      <c r="R105" s="77"/>
      <c r="S105" s="77"/>
      <c r="T105" s="77"/>
      <c r="U105" s="77"/>
      <c r="V105" s="87"/>
      <c r="W105" s="87"/>
      <c r="X105" s="87"/>
      <c r="Y105" s="77"/>
      <c r="Z105" s="88"/>
      <c r="AA105" s="35"/>
      <c r="AB105" s="35"/>
    </row>
    <row r="106" spans="1:28" x14ac:dyDescent="0.25">
      <c r="A106" s="68" t="str">
        <f t="shared" si="6"/>
        <v>545392</v>
      </c>
      <c r="B106" s="10">
        <f t="shared" si="7"/>
        <v>9066.3125</v>
      </c>
      <c r="C106" s="77" t="s">
        <v>4796</v>
      </c>
      <c r="D106" s="191" t="str">
        <f t="shared" si="5"/>
        <v>Osvětlené zrcadlo 800x500mm Portal Line Backlight černá mat neutrální bílá</v>
      </c>
      <c r="E106" s="77" t="s">
        <v>1114</v>
      </c>
      <c r="F106" s="77" t="s">
        <v>794</v>
      </c>
      <c r="G106" s="77" t="s">
        <v>794</v>
      </c>
      <c r="H106" s="77" t="s">
        <v>794</v>
      </c>
      <c r="I106" s="77" t="s">
        <v>795</v>
      </c>
      <c r="J106" s="90">
        <v>1</v>
      </c>
      <c r="K106" s="91">
        <v>1</v>
      </c>
      <c r="L106" s="77" t="s">
        <v>6565</v>
      </c>
      <c r="M106" s="78">
        <v>9066.3125</v>
      </c>
      <c r="N106" s="79">
        <v>413.61590000000001</v>
      </c>
      <c r="O106" s="79">
        <v>1513.0745300000001</v>
      </c>
      <c r="P106" s="79">
        <v>147659.81270000001</v>
      </c>
      <c r="Q106" s="77"/>
      <c r="R106" s="77"/>
      <c r="S106" s="77"/>
      <c r="T106" s="77"/>
      <c r="U106" s="77"/>
      <c r="V106" s="87"/>
      <c r="W106" s="87"/>
      <c r="X106" s="87"/>
      <c r="Y106" s="77"/>
      <c r="Z106" s="88"/>
      <c r="AA106" s="35"/>
      <c r="AB106" s="35"/>
    </row>
    <row r="107" spans="1:28" x14ac:dyDescent="0.25">
      <c r="A107" s="68" t="str">
        <f t="shared" si="6"/>
        <v>545393</v>
      </c>
      <c r="B107" s="10">
        <f t="shared" si="7"/>
        <v>9066.3125</v>
      </c>
      <c r="C107" s="77" t="s">
        <v>4797</v>
      </c>
      <c r="D107" s="191" t="str">
        <f t="shared" si="5"/>
        <v>Osvětlené zrcadlo 800x500mm Portal Line Backlight černá mat studená bílá</v>
      </c>
      <c r="E107" s="77" t="s">
        <v>1115</v>
      </c>
      <c r="F107" s="77" t="s">
        <v>1116</v>
      </c>
      <c r="G107" s="77" t="s">
        <v>794</v>
      </c>
      <c r="H107" s="77" t="s">
        <v>1117</v>
      </c>
      <c r="I107" s="77" t="s">
        <v>795</v>
      </c>
      <c r="J107" s="90">
        <v>1</v>
      </c>
      <c r="K107" s="91">
        <v>1</v>
      </c>
      <c r="L107" s="77" t="s">
        <v>6565</v>
      </c>
      <c r="M107" s="78">
        <v>9066.3125</v>
      </c>
      <c r="N107" s="79">
        <v>413.61590000000001</v>
      </c>
      <c r="O107" s="79">
        <v>1513.0745300000001</v>
      </c>
      <c r="P107" s="79">
        <v>147659.81270000001</v>
      </c>
      <c r="Q107" s="77"/>
      <c r="R107" s="77"/>
      <c r="S107" s="77"/>
      <c r="T107" s="77"/>
      <c r="U107" s="77"/>
      <c r="V107" s="87"/>
      <c r="W107" s="87"/>
      <c r="X107" s="87"/>
      <c r="Y107" s="77"/>
      <c r="Z107" s="88"/>
      <c r="AA107" s="35"/>
      <c r="AB107" s="35"/>
    </row>
    <row r="108" spans="1:28" x14ac:dyDescent="0.25">
      <c r="A108" s="68" t="str">
        <f t="shared" si="6"/>
        <v>545391</v>
      </c>
      <c r="B108" s="10">
        <f t="shared" si="7"/>
        <v>9066.3125</v>
      </c>
      <c r="C108" s="77" t="s">
        <v>4798</v>
      </c>
      <c r="D108" s="191" t="str">
        <f t="shared" si="5"/>
        <v>Osvětlené zrcadlo 800x500mm Portal Line Backlight černá mat teplá bílá</v>
      </c>
      <c r="E108" s="77" t="s">
        <v>1118</v>
      </c>
      <c r="F108" s="77" t="s">
        <v>794</v>
      </c>
      <c r="G108" s="77" t="s">
        <v>794</v>
      </c>
      <c r="H108" s="77" t="s">
        <v>794</v>
      </c>
      <c r="I108" s="77" t="s">
        <v>795</v>
      </c>
      <c r="J108" s="90">
        <v>1</v>
      </c>
      <c r="K108" s="91">
        <v>1</v>
      </c>
      <c r="L108" s="77" t="s">
        <v>6565</v>
      </c>
      <c r="M108" s="78">
        <v>9066.3125</v>
      </c>
      <c r="N108" s="79">
        <v>413.61590000000001</v>
      </c>
      <c r="O108" s="79">
        <v>1513.0745300000001</v>
      </c>
      <c r="P108" s="79">
        <v>147659.81270000001</v>
      </c>
      <c r="Q108" s="77"/>
      <c r="R108" s="77"/>
      <c r="S108" s="77"/>
      <c r="T108" s="77"/>
      <c r="U108" s="77"/>
      <c r="V108" s="87"/>
      <c r="W108" s="87"/>
      <c r="X108" s="87"/>
      <c r="Y108" s="77"/>
      <c r="Z108" s="88"/>
      <c r="AA108" s="35"/>
      <c r="AB108" s="35"/>
    </row>
    <row r="109" spans="1:28" x14ac:dyDescent="0.25">
      <c r="A109" s="68" t="str">
        <f t="shared" si="6"/>
        <v>515068</v>
      </c>
      <c r="B109" s="10">
        <f t="shared" si="7"/>
        <v>7030.2375000000002</v>
      </c>
      <c r="C109" s="77" t="s">
        <v>4799</v>
      </c>
      <c r="D109" s="191" t="str">
        <f t="shared" si="5"/>
        <v>Osvětlené zrcadlo Round Line Backlight 600mm, černá anoda, bez vypínače, neutrál</v>
      </c>
      <c r="E109" s="77" t="s">
        <v>1119</v>
      </c>
      <c r="F109" s="77" t="s">
        <v>794</v>
      </c>
      <c r="G109" s="77" t="s">
        <v>794</v>
      </c>
      <c r="H109" s="77" t="s">
        <v>794</v>
      </c>
      <c r="I109" s="77" t="s">
        <v>795</v>
      </c>
      <c r="J109" s="90">
        <v>1</v>
      </c>
      <c r="K109" s="91">
        <v>1</v>
      </c>
      <c r="L109" s="77" t="s">
        <v>6565</v>
      </c>
      <c r="M109" s="78">
        <v>7030.2375000000002</v>
      </c>
      <c r="N109" s="79">
        <v>315.58582999999999</v>
      </c>
      <c r="O109" s="79">
        <v>1153.2185300000001</v>
      </c>
      <c r="P109" s="79">
        <v>114127.23215</v>
      </c>
      <c r="Q109" s="77"/>
      <c r="R109" s="77"/>
      <c r="S109" s="77"/>
      <c r="T109" s="77"/>
      <c r="U109" s="77"/>
      <c r="V109" s="87"/>
      <c r="W109" s="87"/>
      <c r="X109" s="87"/>
      <c r="Y109" s="77"/>
      <c r="Z109" s="88"/>
      <c r="AA109" s="35"/>
      <c r="AB109" s="35"/>
    </row>
    <row r="110" spans="1:28" x14ac:dyDescent="0.25">
      <c r="A110" s="68" t="str">
        <f t="shared" si="6"/>
        <v>556519</v>
      </c>
      <c r="B110" s="10">
        <f t="shared" si="7"/>
        <v>8637.2000000000007</v>
      </c>
      <c r="C110" s="77" t="s">
        <v>4800</v>
      </c>
      <c r="D110" s="191" t="str">
        <f t="shared" si="5"/>
        <v>Osvětlené zrcadlo Round Line Backlight 800mm, černá anoda, vypínač, teplá</v>
      </c>
      <c r="E110" s="77" t="s">
        <v>1120</v>
      </c>
      <c r="F110" s="77" t="s">
        <v>794</v>
      </c>
      <c r="G110" s="77" t="s">
        <v>794</v>
      </c>
      <c r="H110" s="77" t="s">
        <v>794</v>
      </c>
      <c r="I110" s="77" t="s">
        <v>795</v>
      </c>
      <c r="J110" s="90">
        <v>1</v>
      </c>
      <c r="K110" s="91">
        <v>1</v>
      </c>
      <c r="L110" s="77" t="s">
        <v>6565</v>
      </c>
      <c r="M110" s="78">
        <v>8637.2000000000007</v>
      </c>
      <c r="N110" s="79">
        <v>0</v>
      </c>
      <c r="O110" s="79">
        <v>0</v>
      </c>
      <c r="P110" s="79">
        <v>0</v>
      </c>
      <c r="Q110" s="77"/>
      <c r="R110" s="77"/>
      <c r="S110" s="77"/>
      <c r="T110" s="77"/>
      <c r="U110" s="77"/>
      <c r="V110" s="87"/>
      <c r="W110" s="87"/>
      <c r="X110" s="87"/>
      <c r="Y110" s="77"/>
      <c r="Z110" s="88"/>
      <c r="AA110" s="35"/>
      <c r="AB110" s="35"/>
    </row>
    <row r="111" spans="1:28" x14ac:dyDescent="0.25">
      <c r="A111" s="68" t="str">
        <f t="shared" si="6"/>
        <v>522008</v>
      </c>
      <c r="B111" s="10">
        <f t="shared" si="7"/>
        <v>13194.674999999999</v>
      </c>
      <c r="C111" s="77" t="s">
        <v>4801</v>
      </c>
      <c r="D111" s="191" t="str">
        <f t="shared" si="5"/>
        <v>Osvětlené zrcadlo Round Line Backlight 900mm, černá anoda, vypínač, neutrál</v>
      </c>
      <c r="E111" s="77" t="s">
        <v>1121</v>
      </c>
      <c r="F111" s="77" t="s">
        <v>794</v>
      </c>
      <c r="G111" s="77" t="s">
        <v>794</v>
      </c>
      <c r="H111" s="77" t="s">
        <v>794</v>
      </c>
      <c r="I111" s="77" t="s">
        <v>795</v>
      </c>
      <c r="J111" s="90">
        <v>1</v>
      </c>
      <c r="K111" s="91">
        <v>1</v>
      </c>
      <c r="L111" s="77" t="s">
        <v>6565</v>
      </c>
      <c r="M111" s="78">
        <v>13194.674999999999</v>
      </c>
      <c r="N111" s="79">
        <v>592.30607999999995</v>
      </c>
      <c r="O111" s="79">
        <v>2164.4138899999998</v>
      </c>
      <c r="P111" s="79">
        <v>214199.26947999999</v>
      </c>
      <c r="Q111" s="77"/>
      <c r="R111" s="77"/>
      <c r="S111" s="77"/>
      <c r="T111" s="77"/>
      <c r="U111" s="77"/>
      <c r="V111" s="87"/>
      <c r="W111" s="87"/>
      <c r="X111" s="87"/>
      <c r="Y111" s="77"/>
      <c r="Z111" s="88"/>
      <c r="AA111" s="35"/>
      <c r="AB111" s="35"/>
    </row>
    <row r="112" spans="1:28" x14ac:dyDescent="0.25">
      <c r="A112" s="68" t="str">
        <f t="shared" si="6"/>
        <v>507931</v>
      </c>
      <c r="B112" s="10">
        <f t="shared" si="7"/>
        <v>17668.608749999999</v>
      </c>
      <c r="C112" s="77" t="s">
        <v>4802</v>
      </c>
      <c r="D112" s="191" t="str">
        <f t="shared" si="5"/>
        <v>Osvětlené zrcadlo zakázka  1000x1200mm Double Line</v>
      </c>
      <c r="E112" s="77" t="s">
        <v>1122</v>
      </c>
      <c r="F112" s="77" t="s">
        <v>794</v>
      </c>
      <c r="G112" s="77" t="s">
        <v>794</v>
      </c>
      <c r="H112" s="77" t="s">
        <v>794</v>
      </c>
      <c r="I112" s="77" t="s">
        <v>795</v>
      </c>
      <c r="J112" s="90">
        <v>1</v>
      </c>
      <c r="K112" s="91">
        <v>1</v>
      </c>
      <c r="L112" s="77" t="s">
        <v>6565</v>
      </c>
      <c r="M112" s="78">
        <v>17668.608749999999</v>
      </c>
      <c r="N112" s="79">
        <v>793.13995</v>
      </c>
      <c r="O112" s="79">
        <v>2898.3042099999998</v>
      </c>
      <c r="P112" s="79">
        <v>286828.06413000001</v>
      </c>
      <c r="Q112" s="77"/>
      <c r="R112" s="77"/>
      <c r="S112" s="77"/>
      <c r="T112" s="77"/>
      <c r="U112" s="77"/>
      <c r="V112" s="87"/>
      <c r="W112" s="87"/>
      <c r="X112" s="87"/>
      <c r="Y112" s="77"/>
      <c r="Z112" s="88"/>
      <c r="AA112" s="35"/>
      <c r="AB112" s="35"/>
    </row>
    <row r="113" spans="1:28" x14ac:dyDescent="0.25">
      <c r="A113" s="68" t="str">
        <f t="shared" si="6"/>
        <v>552501</v>
      </c>
      <c r="B113" s="10">
        <f t="shared" si="7"/>
        <v>12953.65</v>
      </c>
      <c r="C113" s="77" t="s">
        <v>4803</v>
      </c>
      <c r="D113" s="191" t="str">
        <f t="shared" si="5"/>
        <v>Osvětlené zrcadlo zakázka  1200 x 600mm Cosmetic Line</v>
      </c>
      <c r="E113" s="77" t="s">
        <v>1123</v>
      </c>
      <c r="F113" s="77" t="s">
        <v>888</v>
      </c>
      <c r="G113" s="77" t="s">
        <v>888</v>
      </c>
      <c r="H113" s="77" t="s">
        <v>888</v>
      </c>
      <c r="I113" s="77" t="s">
        <v>795</v>
      </c>
      <c r="J113" s="90">
        <v>1</v>
      </c>
      <c r="K113" s="91">
        <v>1</v>
      </c>
      <c r="L113" s="77" t="s">
        <v>6565</v>
      </c>
      <c r="M113" s="78">
        <v>12953.65</v>
      </c>
      <c r="N113" s="79">
        <v>0</v>
      </c>
      <c r="O113" s="79">
        <v>0</v>
      </c>
      <c r="P113" s="79">
        <v>0</v>
      </c>
      <c r="Q113" s="77"/>
      <c r="R113" s="77"/>
      <c r="S113" s="77"/>
      <c r="T113" s="77"/>
      <c r="U113" s="77"/>
      <c r="V113" s="87"/>
      <c r="W113" s="87"/>
      <c r="X113" s="87"/>
      <c r="Y113" s="77"/>
      <c r="Z113" s="88"/>
      <c r="AA113" s="35"/>
      <c r="AB113" s="35"/>
    </row>
    <row r="114" spans="1:28" x14ac:dyDescent="0.25">
      <c r="A114" s="68" t="str">
        <f t="shared" si="6"/>
        <v>553012</v>
      </c>
      <c r="B114" s="10">
        <f t="shared" si="7"/>
        <v>26957.1515</v>
      </c>
      <c r="C114" s="77" t="s">
        <v>4804</v>
      </c>
      <c r="D114" s="191" t="str">
        <f t="shared" si="5"/>
        <v>Osvětlené zrcadlo zakázka  2400 x 800mm Shine Line</v>
      </c>
      <c r="E114" s="77" t="s">
        <v>1124</v>
      </c>
      <c r="F114" s="77" t="s">
        <v>888</v>
      </c>
      <c r="G114" s="77" t="s">
        <v>888</v>
      </c>
      <c r="H114" s="77" t="s">
        <v>888</v>
      </c>
      <c r="I114" s="77" t="s">
        <v>795</v>
      </c>
      <c r="J114" s="90">
        <v>1</v>
      </c>
      <c r="K114" s="91">
        <v>1</v>
      </c>
      <c r="L114" s="77" t="s">
        <v>6565</v>
      </c>
      <c r="M114" s="78">
        <v>26957.1515</v>
      </c>
      <c r="N114" s="79">
        <v>0</v>
      </c>
      <c r="O114" s="79">
        <v>0</v>
      </c>
      <c r="P114" s="79">
        <v>0</v>
      </c>
      <c r="Q114" s="77"/>
      <c r="R114" s="77"/>
      <c r="S114" s="77"/>
      <c r="T114" s="77"/>
      <c r="U114" s="77"/>
      <c r="V114" s="87"/>
      <c r="W114" s="87"/>
      <c r="X114" s="87"/>
      <c r="Y114" s="77"/>
      <c r="Z114" s="88"/>
      <c r="AA114" s="35"/>
      <c r="AB114" s="35"/>
    </row>
    <row r="115" spans="1:28" x14ac:dyDescent="0.25">
      <c r="A115" s="68" t="str">
        <f t="shared" si="6"/>
        <v>548483</v>
      </c>
      <c r="B115" s="10">
        <f t="shared" si="7"/>
        <v>11214.75</v>
      </c>
      <c r="C115" s="77" t="s">
        <v>4805</v>
      </c>
      <c r="D115" s="191" t="str">
        <f t="shared" si="5"/>
        <v>Osvětlené zrcadlo zakázka  800x1100mm Double Line</v>
      </c>
      <c r="E115" s="77" t="s">
        <v>1125</v>
      </c>
      <c r="F115" s="77" t="s">
        <v>794</v>
      </c>
      <c r="G115" s="77" t="s">
        <v>794</v>
      </c>
      <c r="H115" s="77" t="s">
        <v>794</v>
      </c>
      <c r="I115" s="77" t="s">
        <v>795</v>
      </c>
      <c r="J115" s="90">
        <v>1</v>
      </c>
      <c r="K115" s="91">
        <v>1</v>
      </c>
      <c r="L115" s="77" t="s">
        <v>6565</v>
      </c>
      <c r="M115" s="78">
        <v>11214.75</v>
      </c>
      <c r="N115" s="79">
        <v>0</v>
      </c>
      <c r="O115" s="79">
        <v>1888.04448</v>
      </c>
      <c r="P115" s="79">
        <v>180883.06453</v>
      </c>
      <c r="Q115" s="77"/>
      <c r="R115" s="77"/>
      <c r="S115" s="77"/>
      <c r="T115" s="77"/>
      <c r="U115" s="77"/>
      <c r="V115" s="87"/>
      <c r="W115" s="87"/>
      <c r="X115" s="87"/>
      <c r="Y115" s="77"/>
      <c r="Z115" s="88"/>
      <c r="AA115" s="35"/>
      <c r="AB115" s="35"/>
    </row>
    <row r="116" spans="1:28" x14ac:dyDescent="0.25">
      <c r="A116" s="68" t="str">
        <f t="shared" si="6"/>
        <v>516144</v>
      </c>
      <c r="B116" s="10">
        <f t="shared" si="7"/>
        <v>18597.881249999999</v>
      </c>
      <c r="C116" s="77" t="s">
        <v>4806</v>
      </c>
      <c r="D116" s="191" t="str">
        <f t="shared" si="5"/>
        <v>Osvětlené zrcadlo zakázka  850x1060mm Double Line</v>
      </c>
      <c r="E116" s="77" t="s">
        <v>1126</v>
      </c>
      <c r="F116" s="77" t="s">
        <v>794</v>
      </c>
      <c r="G116" s="77" t="s">
        <v>794</v>
      </c>
      <c r="H116" s="77" t="s">
        <v>794</v>
      </c>
      <c r="I116" s="77" t="s">
        <v>795</v>
      </c>
      <c r="J116" s="90">
        <v>1</v>
      </c>
      <c r="K116" s="91">
        <v>1</v>
      </c>
      <c r="L116" s="77" t="s">
        <v>6565</v>
      </c>
      <c r="M116" s="78">
        <v>18597.881249999999</v>
      </c>
      <c r="N116" s="79">
        <v>834.85479999999995</v>
      </c>
      <c r="O116" s="79">
        <v>3050.7392199999999</v>
      </c>
      <c r="P116" s="79">
        <v>301913.65665000002</v>
      </c>
      <c r="Q116" s="77"/>
      <c r="R116" s="77"/>
      <c r="S116" s="77"/>
      <c r="T116" s="77"/>
      <c r="U116" s="77"/>
      <c r="V116" s="87"/>
      <c r="W116" s="87"/>
      <c r="X116" s="87"/>
      <c r="Y116" s="77"/>
      <c r="Z116" s="88"/>
      <c r="AA116" s="35"/>
      <c r="AB116" s="35"/>
    </row>
    <row r="117" spans="1:28" x14ac:dyDescent="0.25">
      <c r="A117" s="68" t="str">
        <f t="shared" si="6"/>
        <v>531130</v>
      </c>
      <c r="B117" s="10">
        <f t="shared" si="7"/>
        <v>9517.5112499999996</v>
      </c>
      <c r="C117" s="77" t="s">
        <v>4807</v>
      </c>
      <c r="D117" s="191" t="str">
        <f t="shared" si="5"/>
        <v>Osvětlené zrcadlo zakázka 650x1000mm Double Line</v>
      </c>
      <c r="E117" s="77" t="s">
        <v>1127</v>
      </c>
      <c r="F117" s="77" t="s">
        <v>794</v>
      </c>
      <c r="G117" s="77" t="s">
        <v>794</v>
      </c>
      <c r="H117" s="77" t="s">
        <v>794</v>
      </c>
      <c r="I117" s="77" t="s">
        <v>795</v>
      </c>
      <c r="J117" s="90">
        <v>1</v>
      </c>
      <c r="K117" s="91">
        <v>1</v>
      </c>
      <c r="L117" s="77" t="s">
        <v>6565</v>
      </c>
      <c r="M117" s="78">
        <v>9517.5112499999996</v>
      </c>
      <c r="N117" s="79">
        <v>427.23898000000003</v>
      </c>
      <c r="O117" s="79">
        <v>1561.22327</v>
      </c>
      <c r="P117" s="79">
        <v>154505.05275</v>
      </c>
      <c r="Q117" s="77"/>
      <c r="R117" s="77"/>
      <c r="S117" s="77"/>
      <c r="T117" s="77"/>
      <c r="U117" s="77"/>
      <c r="V117" s="87"/>
      <c r="W117" s="87"/>
      <c r="X117" s="87"/>
      <c r="Y117" s="77"/>
      <c r="Z117" s="88"/>
      <c r="AA117" s="35"/>
      <c r="AB117" s="35"/>
    </row>
    <row r="118" spans="1:28" x14ac:dyDescent="0.25">
      <c r="A118" s="68" t="str">
        <f t="shared" si="6"/>
        <v>557343</v>
      </c>
      <c r="B118" s="10">
        <f t="shared" si="7"/>
        <v>19662.5</v>
      </c>
      <c r="C118" s="77" t="s">
        <v>6415</v>
      </c>
      <c r="D118" s="191" t="str">
        <f t="shared" si="5"/>
        <v>Osvětlené zrcadlo zakázka 800x1500mm Double Line</v>
      </c>
      <c r="E118" s="77" t="s">
        <v>6416</v>
      </c>
      <c r="F118" s="77" t="s">
        <v>794</v>
      </c>
      <c r="G118" s="77" t="s">
        <v>794</v>
      </c>
      <c r="H118" s="77" t="s">
        <v>794</v>
      </c>
      <c r="I118" s="77" t="s">
        <v>795</v>
      </c>
      <c r="J118" s="90">
        <v>1</v>
      </c>
      <c r="K118" s="91">
        <v>1</v>
      </c>
      <c r="L118" s="77" t="s">
        <v>6565</v>
      </c>
      <c r="M118" s="78">
        <v>19662.5</v>
      </c>
      <c r="N118" s="79">
        <v>0</v>
      </c>
      <c r="O118" s="79">
        <v>0</v>
      </c>
      <c r="P118" s="79">
        <v>306269.47039999999</v>
      </c>
      <c r="Q118" s="77"/>
      <c r="R118" s="77"/>
      <c r="S118" s="77"/>
      <c r="T118" s="77"/>
      <c r="U118" s="77"/>
      <c r="V118" s="87"/>
      <c r="W118" s="87"/>
      <c r="X118" s="87"/>
      <c r="Y118" s="77"/>
      <c r="Z118" s="88"/>
      <c r="AA118" s="35"/>
      <c r="AB118" s="35"/>
    </row>
    <row r="119" spans="1:28" x14ac:dyDescent="0.25">
      <c r="A119" s="68" t="str">
        <f t="shared" si="6"/>
        <v>525423</v>
      </c>
      <c r="B119" s="10">
        <f t="shared" si="7"/>
        <v>8191.0237500000003</v>
      </c>
      <c r="C119" s="77" t="s">
        <v>4808</v>
      </c>
      <c r="D119" s="191" t="str">
        <f t="shared" si="5"/>
        <v>Osvětlené zrcadlo zakázka 800x700mm Double Line</v>
      </c>
      <c r="E119" s="77" t="s">
        <v>1128</v>
      </c>
      <c r="F119" s="77" t="s">
        <v>794</v>
      </c>
      <c r="G119" s="77" t="s">
        <v>794</v>
      </c>
      <c r="H119" s="77" t="s">
        <v>794</v>
      </c>
      <c r="I119" s="77" t="s">
        <v>795</v>
      </c>
      <c r="J119" s="90">
        <v>1</v>
      </c>
      <c r="K119" s="91">
        <v>1</v>
      </c>
      <c r="L119" s="77" t="s">
        <v>6565</v>
      </c>
      <c r="M119" s="78">
        <v>8191.0237500000003</v>
      </c>
      <c r="N119" s="79">
        <v>367.69324999999998</v>
      </c>
      <c r="O119" s="79">
        <v>1343.6303399999999</v>
      </c>
      <c r="P119" s="79">
        <v>132971.16477999999</v>
      </c>
      <c r="Q119" s="77"/>
      <c r="R119" s="77"/>
      <c r="S119" s="77"/>
      <c r="T119" s="77"/>
      <c r="U119" s="77"/>
      <c r="V119" s="87"/>
      <c r="W119" s="87"/>
      <c r="X119" s="87"/>
      <c r="Y119" s="77"/>
      <c r="Z119" s="88"/>
      <c r="AA119" s="35"/>
      <c r="AB119" s="35"/>
    </row>
    <row r="120" spans="1:28" x14ac:dyDescent="0.25">
      <c r="A120" s="68" t="str">
        <f t="shared" si="6"/>
        <v>524043</v>
      </c>
      <c r="B120" s="10">
        <f t="shared" si="7"/>
        <v>10968.75</v>
      </c>
      <c r="C120" s="77" t="s">
        <v>4809</v>
      </c>
      <c r="D120" s="191" t="str">
        <f t="shared" si="5"/>
        <v>Osvětlené zrcadlo zakázka Ivan 970 x 760mm Classic Line</v>
      </c>
      <c r="E120" s="77" t="s">
        <v>1129</v>
      </c>
      <c r="F120" s="77" t="s">
        <v>794</v>
      </c>
      <c r="G120" s="77" t="s">
        <v>794</v>
      </c>
      <c r="H120" s="77" t="s">
        <v>794</v>
      </c>
      <c r="I120" s="77" t="s">
        <v>795</v>
      </c>
      <c r="J120" s="90">
        <v>1</v>
      </c>
      <c r="K120" s="91">
        <v>1</v>
      </c>
      <c r="L120" s="77" t="s">
        <v>6565</v>
      </c>
      <c r="M120" s="78">
        <v>10968.75</v>
      </c>
      <c r="N120" s="79">
        <v>492.38475</v>
      </c>
      <c r="O120" s="79">
        <v>1799.28</v>
      </c>
      <c r="P120" s="79">
        <v>178064.12338</v>
      </c>
      <c r="Q120" s="77"/>
      <c r="R120" s="77"/>
      <c r="S120" s="77"/>
      <c r="T120" s="77"/>
      <c r="U120" s="77"/>
      <c r="V120" s="87"/>
      <c r="W120" s="87"/>
      <c r="X120" s="87"/>
      <c r="Y120" s="77"/>
      <c r="Z120" s="88"/>
      <c r="AA120" s="35"/>
      <c r="AB120" s="35"/>
    </row>
    <row r="121" spans="1:28" x14ac:dyDescent="0.25">
      <c r="A121" s="68" t="str">
        <f t="shared" si="6"/>
        <v>521171</v>
      </c>
      <c r="B121" s="10">
        <f t="shared" si="7"/>
        <v>562.31406000000004</v>
      </c>
      <c r="C121" s="77" t="s">
        <v>4810</v>
      </c>
      <c r="D121" s="191" t="str">
        <f t="shared" si="5"/>
        <v>Ovladač dimLED OVS 1KR</v>
      </c>
      <c r="E121" s="77" t="s">
        <v>1130</v>
      </c>
      <c r="F121" s="77" t="s">
        <v>794</v>
      </c>
      <c r="G121" s="77" t="s">
        <v>794</v>
      </c>
      <c r="H121" s="77" t="s">
        <v>794</v>
      </c>
      <c r="I121" s="77" t="s">
        <v>795</v>
      </c>
      <c r="J121" s="90">
        <v>5</v>
      </c>
      <c r="K121" s="91">
        <v>1</v>
      </c>
      <c r="L121" s="77" t="s">
        <v>6565</v>
      </c>
      <c r="M121" s="78">
        <v>562.31406000000004</v>
      </c>
      <c r="N121" s="79">
        <v>23.967469999999999</v>
      </c>
      <c r="O121" s="79">
        <v>74.749719999999996</v>
      </c>
      <c r="P121" s="79">
        <v>8519.91</v>
      </c>
      <c r="Q121" s="77"/>
      <c r="R121" s="77"/>
      <c r="S121" s="77"/>
      <c r="T121" s="77"/>
      <c r="U121" s="77"/>
      <c r="V121" s="87"/>
      <c r="W121" s="87"/>
      <c r="X121" s="87"/>
      <c r="Y121" s="77"/>
      <c r="Z121" s="88"/>
      <c r="AA121" s="35"/>
      <c r="AB121" s="35"/>
    </row>
    <row r="122" spans="1:28" x14ac:dyDescent="0.25">
      <c r="A122" s="68" t="str">
        <f t="shared" si="6"/>
        <v>265627</v>
      </c>
      <c r="B122" s="10">
        <f t="shared" si="7"/>
        <v>247</v>
      </c>
      <c r="C122" s="77" t="s">
        <v>4811</v>
      </c>
      <c r="D122" s="191" t="str">
        <f t="shared" si="5"/>
        <v>Pohybový senzor do profilu pro LED pásky</v>
      </c>
      <c r="E122" s="77" t="s">
        <v>1131</v>
      </c>
      <c r="F122" s="77" t="s">
        <v>1132</v>
      </c>
      <c r="G122" s="77" t="s">
        <v>1134</v>
      </c>
      <c r="H122" s="77" t="s">
        <v>1133</v>
      </c>
      <c r="I122" s="77" t="s">
        <v>795</v>
      </c>
      <c r="J122" s="90">
        <v>50</v>
      </c>
      <c r="K122" s="91">
        <v>1</v>
      </c>
      <c r="L122" s="77" t="s">
        <v>160</v>
      </c>
      <c r="M122" s="78">
        <v>247</v>
      </c>
      <c r="N122" s="79">
        <v>11.40784</v>
      </c>
      <c r="O122" s="79">
        <v>48.533329999999999</v>
      </c>
      <c r="P122" s="79">
        <v>9028.6936299999998</v>
      </c>
      <c r="Q122" s="77"/>
      <c r="R122" s="77"/>
      <c r="S122" s="77"/>
      <c r="T122" s="77"/>
      <c r="U122" s="77"/>
      <c r="V122" s="87"/>
      <c r="W122" s="87"/>
      <c r="X122" s="87"/>
      <c r="Y122" s="77"/>
      <c r="Z122" s="88"/>
      <c r="AA122" s="35"/>
      <c r="AB122" s="35"/>
    </row>
    <row r="123" spans="1:28" x14ac:dyDescent="0.25">
      <c r="A123" s="68" t="str">
        <f t="shared" si="6"/>
        <v>541399</v>
      </c>
      <c r="B123" s="10">
        <f t="shared" si="7"/>
        <v>187.42500000000001</v>
      </c>
      <c r="C123" s="77" t="s">
        <v>4812</v>
      </c>
      <c r="D123" s="191" t="str">
        <f t="shared" si="5"/>
        <v>Profil LED Mikro 2 2000mm černá elox</v>
      </c>
      <c r="E123" s="77" t="s">
        <v>1135</v>
      </c>
      <c r="F123" s="77" t="s">
        <v>1136</v>
      </c>
      <c r="G123" s="77" t="s">
        <v>1138</v>
      </c>
      <c r="H123" s="77" t="s">
        <v>1137</v>
      </c>
      <c r="I123" s="77" t="s">
        <v>795</v>
      </c>
      <c r="J123" s="90">
        <v>40</v>
      </c>
      <c r="K123" s="91">
        <v>1</v>
      </c>
      <c r="L123" s="77" t="s">
        <v>6565</v>
      </c>
      <c r="M123" s="78">
        <v>187.42500000000001</v>
      </c>
      <c r="N123" s="79">
        <v>7.9886200000000001</v>
      </c>
      <c r="O123" s="79">
        <v>24.914840000000002</v>
      </c>
      <c r="P123" s="79">
        <v>2839.7727399999999</v>
      </c>
      <c r="Q123" s="77"/>
      <c r="R123" s="77"/>
      <c r="S123" s="77"/>
      <c r="T123" s="77"/>
      <c r="U123" s="77"/>
      <c r="V123" s="87"/>
      <c r="W123" s="87"/>
      <c r="X123" s="87"/>
      <c r="Y123" s="77"/>
      <c r="Z123" s="88"/>
      <c r="AA123" s="35"/>
      <c r="AB123" s="35"/>
    </row>
    <row r="124" spans="1:28" x14ac:dyDescent="0.25">
      <c r="A124" s="68" t="str">
        <f t="shared" si="6"/>
        <v>389895</v>
      </c>
      <c r="B124" s="10">
        <f t="shared" si="7"/>
        <v>185.65199999999999</v>
      </c>
      <c r="C124" s="77" t="s">
        <v>4813</v>
      </c>
      <c r="D124" s="191" t="str">
        <f t="shared" si="5"/>
        <v>Profil LED Mikro 2 2000mm stříbrná elox</v>
      </c>
      <c r="E124" s="77" t="s">
        <v>1139</v>
      </c>
      <c r="F124" s="77" t="s">
        <v>1140</v>
      </c>
      <c r="G124" s="77" t="s">
        <v>1141</v>
      </c>
      <c r="H124" s="77" t="s">
        <v>1137</v>
      </c>
      <c r="I124" s="77" t="s">
        <v>795</v>
      </c>
      <c r="J124" s="90">
        <v>40</v>
      </c>
      <c r="K124" s="91">
        <v>1</v>
      </c>
      <c r="L124" s="77" t="s">
        <v>6565</v>
      </c>
      <c r="M124" s="78">
        <v>185.65199999999999</v>
      </c>
      <c r="N124" s="79">
        <v>7.1014499999999998</v>
      </c>
      <c r="O124" s="79">
        <v>21.204999999999998</v>
      </c>
      <c r="P124" s="79">
        <v>2554.4018799999999</v>
      </c>
      <c r="Q124" s="77"/>
      <c r="R124" s="77"/>
      <c r="S124" s="77"/>
      <c r="T124" s="77"/>
      <c r="U124" s="77"/>
      <c r="V124" s="87"/>
      <c r="W124" s="87"/>
      <c r="X124" s="87"/>
      <c r="Y124" s="77"/>
      <c r="Z124" s="88"/>
      <c r="AA124" s="35"/>
      <c r="AB124" s="35"/>
    </row>
    <row r="125" spans="1:28" x14ac:dyDescent="0.25">
      <c r="A125" s="68" t="str">
        <f t="shared" si="6"/>
        <v>521170</v>
      </c>
      <c r="B125" s="10">
        <f t="shared" si="7"/>
        <v>328.01643000000001</v>
      </c>
      <c r="C125" s="77" t="s">
        <v>4814</v>
      </c>
      <c r="D125" s="191" t="str">
        <f t="shared" si="5"/>
        <v>Přijímač dimLED PR 1MINI-SL SLOW</v>
      </c>
      <c r="E125" s="77" t="s">
        <v>1142</v>
      </c>
      <c r="F125" s="77" t="s">
        <v>794</v>
      </c>
      <c r="G125" s="77" t="s">
        <v>794</v>
      </c>
      <c r="H125" s="77" t="s">
        <v>794</v>
      </c>
      <c r="I125" s="77" t="s">
        <v>795</v>
      </c>
      <c r="J125" s="90">
        <v>5</v>
      </c>
      <c r="K125" s="91">
        <v>1</v>
      </c>
      <c r="L125" s="77" t="s">
        <v>6565</v>
      </c>
      <c r="M125" s="78">
        <v>328.01643000000001</v>
      </c>
      <c r="N125" s="79">
        <v>13.981019999999999</v>
      </c>
      <c r="O125" s="79">
        <v>43.60398</v>
      </c>
      <c r="P125" s="79">
        <v>4969.9458999999997</v>
      </c>
      <c r="Q125" s="77"/>
      <c r="R125" s="77"/>
      <c r="S125" s="77"/>
      <c r="T125" s="77"/>
      <c r="U125" s="77"/>
      <c r="V125" s="87"/>
      <c r="W125" s="87"/>
      <c r="X125" s="87"/>
      <c r="Y125" s="77"/>
      <c r="Z125" s="88"/>
      <c r="AA125" s="35"/>
      <c r="AB125" s="35"/>
    </row>
    <row r="126" spans="1:28" x14ac:dyDescent="0.25">
      <c r="A126" s="68" t="str">
        <f t="shared" si="6"/>
        <v>521169</v>
      </c>
      <c r="B126" s="10">
        <f t="shared" si="7"/>
        <v>577.93398000000002</v>
      </c>
      <c r="C126" s="77" t="s">
        <v>4815</v>
      </c>
      <c r="D126" s="191" t="str">
        <f t="shared" si="5"/>
        <v>Přijímač dimLED PR 1SL SLOW</v>
      </c>
      <c r="E126" s="77" t="s">
        <v>1143</v>
      </c>
      <c r="F126" s="77" t="s">
        <v>794</v>
      </c>
      <c r="G126" s="77" t="s">
        <v>794</v>
      </c>
      <c r="H126" s="77" t="s">
        <v>794</v>
      </c>
      <c r="I126" s="77" t="s">
        <v>795</v>
      </c>
      <c r="J126" s="90">
        <v>5</v>
      </c>
      <c r="K126" s="91">
        <v>1</v>
      </c>
      <c r="L126" s="77" t="s">
        <v>6565</v>
      </c>
      <c r="M126" s="78">
        <v>577.93398000000002</v>
      </c>
      <c r="N126" s="79">
        <v>24.63325</v>
      </c>
      <c r="O126" s="79">
        <v>76.826120000000003</v>
      </c>
      <c r="P126" s="79">
        <v>8756.57546</v>
      </c>
      <c r="Q126" s="77"/>
      <c r="R126" s="77"/>
      <c r="S126" s="77"/>
      <c r="T126" s="77"/>
      <c r="U126" s="77"/>
      <c r="V126" s="87"/>
      <c r="W126" s="87"/>
      <c r="X126" s="87"/>
      <c r="Y126" s="77"/>
      <c r="Z126" s="88"/>
      <c r="AA126" s="35"/>
      <c r="AB126" s="35"/>
    </row>
    <row r="127" spans="1:28" x14ac:dyDescent="0.25">
      <c r="A127" s="68" t="str">
        <f t="shared" si="6"/>
        <v>477458</v>
      </c>
      <c r="B127" s="10">
        <f t="shared" si="7"/>
        <v>264.8646</v>
      </c>
      <c r="C127" s="77" t="s">
        <v>4816</v>
      </c>
      <c r="D127" s="191" t="str">
        <f t="shared" si="5"/>
        <v>SAL - nožní vypínač, napájecí zdroj 12V 6W, rozvaděč</v>
      </c>
      <c r="E127" s="77" t="s">
        <v>1144</v>
      </c>
      <c r="F127" s="77" t="s">
        <v>1145</v>
      </c>
      <c r="G127" s="77" t="s">
        <v>6417</v>
      </c>
      <c r="H127" s="77" t="s">
        <v>1146</v>
      </c>
      <c r="I127" s="77" t="s">
        <v>795</v>
      </c>
      <c r="J127" s="90">
        <v>1</v>
      </c>
      <c r="K127" s="91">
        <v>1</v>
      </c>
      <c r="L127" s="77" t="s">
        <v>6565</v>
      </c>
      <c r="M127" s="78">
        <v>264.8646</v>
      </c>
      <c r="N127" s="79">
        <v>11.28932</v>
      </c>
      <c r="O127" s="79">
        <v>34.398000000000003</v>
      </c>
      <c r="P127" s="79">
        <v>3908.86364</v>
      </c>
      <c r="Q127" s="77"/>
      <c r="R127" s="77"/>
      <c r="S127" s="77"/>
      <c r="T127" s="77"/>
      <c r="U127" s="77"/>
      <c r="V127" s="87"/>
      <c r="W127" s="87"/>
      <c r="X127" s="87"/>
      <c r="Y127" s="77"/>
      <c r="Z127" s="88"/>
      <c r="AA127" s="35"/>
      <c r="AB127" s="35"/>
    </row>
    <row r="128" spans="1:28" x14ac:dyDescent="0.25">
      <c r="A128" s="68" t="str">
        <f t="shared" si="6"/>
        <v>182990</v>
      </c>
      <c r="B128" s="10">
        <f t="shared" si="7"/>
        <v>176.39622</v>
      </c>
      <c r="C128" s="77" t="s">
        <v>4817</v>
      </c>
      <c r="D128" s="191" t="str">
        <f t="shared" si="5"/>
        <v>SAL alu profil pro LED pásky k zafrézování 2m</v>
      </c>
      <c r="E128" s="77" t="s">
        <v>1147</v>
      </c>
      <c r="F128" s="77" t="s">
        <v>1148</v>
      </c>
      <c r="G128" s="77" t="s">
        <v>1150</v>
      </c>
      <c r="H128" s="77" t="s">
        <v>1149</v>
      </c>
      <c r="I128" s="77" t="s">
        <v>795</v>
      </c>
      <c r="J128" s="90">
        <v>25</v>
      </c>
      <c r="K128" s="91">
        <v>1</v>
      </c>
      <c r="L128" s="77" t="s">
        <v>6565</v>
      </c>
      <c r="M128" s="78">
        <v>176.39622</v>
      </c>
      <c r="N128" s="79">
        <v>7.5185300000000002</v>
      </c>
      <c r="O128" s="79">
        <v>22.9086</v>
      </c>
      <c r="P128" s="79">
        <v>2604.9786300000001</v>
      </c>
      <c r="Q128" s="77"/>
      <c r="R128" s="77"/>
      <c r="S128" s="77"/>
      <c r="T128" s="77"/>
      <c r="U128" s="77"/>
      <c r="V128" s="87"/>
      <c r="W128" s="87"/>
      <c r="X128" s="87"/>
      <c r="Y128" s="77"/>
      <c r="Z128" s="88"/>
      <c r="AA128" s="35"/>
      <c r="AB128" s="35"/>
    </row>
    <row r="129" spans="1:28" x14ac:dyDescent="0.25">
      <c r="A129" s="68" t="str">
        <f t="shared" si="6"/>
        <v>S11000</v>
      </c>
      <c r="B129" s="10">
        <f t="shared" si="7"/>
        <v>577.4769</v>
      </c>
      <c r="C129" s="77" t="s">
        <v>1151</v>
      </c>
      <c r="D129" s="191" t="str">
        <f t="shared" si="5"/>
        <v>SAL bezdotykový spínač IR-2</v>
      </c>
      <c r="E129" s="77" t="s">
        <v>1152</v>
      </c>
      <c r="F129" s="77" t="s">
        <v>1152</v>
      </c>
      <c r="G129" s="77" t="s">
        <v>1154</v>
      </c>
      <c r="H129" s="77" t="s">
        <v>1153</v>
      </c>
      <c r="I129" s="77" t="s">
        <v>795</v>
      </c>
      <c r="J129" s="90">
        <v>1</v>
      </c>
      <c r="K129" s="91">
        <v>1</v>
      </c>
      <c r="L129" s="77" t="s">
        <v>6565</v>
      </c>
      <c r="M129" s="78">
        <v>577.4769</v>
      </c>
      <c r="N129" s="79">
        <v>24.613759999999999</v>
      </c>
      <c r="O129" s="79">
        <v>76.30104</v>
      </c>
      <c r="P129" s="79">
        <v>8524.1150099999995</v>
      </c>
      <c r="Q129" s="77"/>
      <c r="R129" s="77"/>
      <c r="S129" s="77"/>
      <c r="T129" s="77"/>
      <c r="U129" s="77"/>
      <c r="V129" s="87"/>
      <c r="W129" s="87"/>
      <c r="X129" s="87"/>
      <c r="Y129" s="77"/>
      <c r="Z129" s="88"/>
      <c r="AA129" s="35"/>
      <c r="AB129" s="35"/>
    </row>
    <row r="130" spans="1:28" x14ac:dyDescent="0.25">
      <c r="A130" s="68" t="str">
        <f t="shared" si="6"/>
        <v>183002</v>
      </c>
      <c r="B130" s="10">
        <f t="shared" si="7"/>
        <v>7.7395500000000004</v>
      </c>
      <c r="C130" s="77" t="s">
        <v>4818</v>
      </c>
      <c r="D130" s="191" t="str">
        <f t="shared" si="5"/>
        <v>SAL koncovka k alu profilu pro LED pásky</v>
      </c>
      <c r="E130" s="77" t="s">
        <v>1155</v>
      </c>
      <c r="F130" s="77" t="s">
        <v>1156</v>
      </c>
      <c r="G130" s="77" t="s">
        <v>1158</v>
      </c>
      <c r="H130" s="77" t="s">
        <v>1157</v>
      </c>
      <c r="I130" s="77" t="s">
        <v>795</v>
      </c>
      <c r="J130" s="90">
        <v>100</v>
      </c>
      <c r="K130" s="91">
        <v>2</v>
      </c>
      <c r="L130" s="77" t="s">
        <v>6565</v>
      </c>
      <c r="M130" s="78">
        <v>7.7395500000000004</v>
      </c>
      <c r="N130" s="79">
        <v>0.32262000000000002</v>
      </c>
      <c r="O130" s="79">
        <v>1.07236</v>
      </c>
      <c r="P130" s="79">
        <v>117.2659</v>
      </c>
      <c r="Q130" s="77"/>
      <c r="R130" s="77"/>
      <c r="S130" s="77"/>
      <c r="T130" s="77"/>
      <c r="U130" s="77"/>
      <c r="V130" s="87"/>
      <c r="W130" s="87"/>
      <c r="X130" s="87"/>
      <c r="Y130" s="77"/>
      <c r="Z130" s="88"/>
      <c r="AA130" s="35"/>
      <c r="AB130" s="35"/>
    </row>
    <row r="131" spans="1:28" x14ac:dyDescent="0.25">
      <c r="A131" s="68" t="str">
        <f t="shared" si="6"/>
        <v>231661</v>
      </c>
      <c r="B131" s="10">
        <f t="shared" si="7"/>
        <v>236.39616000000001</v>
      </c>
      <c r="C131" s="77" t="s">
        <v>4819</v>
      </c>
      <c r="D131" s="191" t="str">
        <f t="shared" ref="D131:D194" si="8">IF($B$1=1,E131,IF($B$1=2,F131,IF($B$1=3,G131,IF($B$1=4,H131))))</f>
        <v>SAL LED bodovka 12V 2W nerez broušená studená bílá</v>
      </c>
      <c r="E131" s="77" t="s">
        <v>1159</v>
      </c>
      <c r="F131" s="77" t="s">
        <v>1160</v>
      </c>
      <c r="G131" s="77" t="s">
        <v>1162</v>
      </c>
      <c r="H131" s="77" t="s">
        <v>1161</v>
      </c>
      <c r="I131" s="77" t="s">
        <v>795</v>
      </c>
      <c r="J131" s="90">
        <v>50</v>
      </c>
      <c r="K131" s="91">
        <v>1</v>
      </c>
      <c r="L131" s="77" t="s">
        <v>6565</v>
      </c>
      <c r="M131" s="78">
        <v>236.39616000000001</v>
      </c>
      <c r="N131" s="79">
        <v>10.07588</v>
      </c>
      <c r="O131" s="79">
        <v>30.700800000000001</v>
      </c>
      <c r="P131" s="79">
        <v>3118.3800799999999</v>
      </c>
      <c r="Q131" s="77"/>
      <c r="R131" s="77"/>
      <c r="S131" s="77"/>
      <c r="T131" s="77"/>
      <c r="U131" s="77"/>
      <c r="V131" s="87"/>
      <c r="W131" s="87"/>
      <c r="X131" s="87"/>
      <c r="Y131" s="77"/>
      <c r="Z131" s="88"/>
      <c r="AA131" s="35"/>
      <c r="AB131" s="35"/>
    </row>
    <row r="132" spans="1:28" x14ac:dyDescent="0.25">
      <c r="A132" s="68" t="str">
        <f t="shared" si="6"/>
        <v>356743</v>
      </c>
      <c r="B132" s="10">
        <f t="shared" si="7"/>
        <v>221.13</v>
      </c>
      <c r="C132" s="77" t="s">
        <v>4820</v>
      </c>
      <c r="D132" s="191" t="str">
        <f t="shared" si="8"/>
        <v>SAL LED bodovka OL11 12V 2W kartáčovaná ocel bílá neutrální</v>
      </c>
      <c r="E132" s="77" t="s">
        <v>1163</v>
      </c>
      <c r="F132" s="77" t="s">
        <v>1164</v>
      </c>
      <c r="G132" s="77" t="s">
        <v>1166</v>
      </c>
      <c r="H132" s="77" t="s">
        <v>1165</v>
      </c>
      <c r="I132" s="77" t="s">
        <v>795</v>
      </c>
      <c r="J132" s="90">
        <v>50</v>
      </c>
      <c r="K132" s="91">
        <v>1</v>
      </c>
      <c r="L132" s="77" t="s">
        <v>6565</v>
      </c>
      <c r="M132" s="78">
        <v>221.13</v>
      </c>
      <c r="N132" s="79">
        <v>9.2174600000000009</v>
      </c>
      <c r="O132" s="79">
        <v>30.478100000000001</v>
      </c>
      <c r="P132" s="79">
        <v>3350.4545499999999</v>
      </c>
      <c r="Q132" s="77"/>
      <c r="R132" s="77"/>
      <c r="S132" s="77"/>
      <c r="T132" s="77"/>
      <c r="U132" s="77"/>
      <c r="V132" s="87"/>
      <c r="W132" s="87"/>
      <c r="X132" s="87"/>
      <c r="Y132" s="77"/>
      <c r="Z132" s="88"/>
      <c r="AA132" s="35"/>
      <c r="AB132" s="35"/>
    </row>
    <row r="133" spans="1:28" x14ac:dyDescent="0.25">
      <c r="A133" s="68" t="str">
        <f t="shared" si="6"/>
        <v>477457</v>
      </c>
      <c r="B133" s="10">
        <f t="shared" si="7"/>
        <v>132.4323</v>
      </c>
      <c r="C133" s="77" t="s">
        <v>4821</v>
      </c>
      <c r="D133" s="191" t="str">
        <f t="shared" si="8"/>
        <v>SAL LED bodovka OLK 10 12V 1,5W alu, bílá teplá</v>
      </c>
      <c r="E133" s="77" t="s">
        <v>1167</v>
      </c>
      <c r="F133" s="77" t="s">
        <v>1168</v>
      </c>
      <c r="G133" s="77" t="s">
        <v>6418</v>
      </c>
      <c r="H133" s="77" t="s">
        <v>1169</v>
      </c>
      <c r="I133" s="77" t="s">
        <v>795</v>
      </c>
      <c r="J133" s="90">
        <v>50</v>
      </c>
      <c r="K133" s="91">
        <v>1</v>
      </c>
      <c r="L133" s="77" t="s">
        <v>6565</v>
      </c>
      <c r="M133" s="78">
        <v>132.4323</v>
      </c>
      <c r="N133" s="79">
        <v>5.64466</v>
      </c>
      <c r="O133" s="79">
        <v>17.199000000000002</v>
      </c>
      <c r="P133" s="79">
        <v>1954.43181</v>
      </c>
      <c r="Q133" s="77"/>
      <c r="R133" s="77"/>
      <c r="S133" s="77"/>
      <c r="T133" s="77"/>
      <c r="U133" s="77"/>
      <c r="V133" s="87"/>
      <c r="W133" s="87"/>
      <c r="X133" s="87"/>
      <c r="Y133" s="77"/>
      <c r="Z133" s="88"/>
      <c r="AA133" s="35"/>
      <c r="AB133" s="35"/>
    </row>
    <row r="134" spans="1:28" x14ac:dyDescent="0.25">
      <c r="A134" s="68" t="str">
        <f t="shared" si="6"/>
        <v>183394</v>
      </c>
      <c r="B134" s="10">
        <f t="shared" si="7"/>
        <v>236.39616000000001</v>
      </c>
      <c r="C134" s="77" t="s">
        <v>4822</v>
      </c>
      <c r="D134" s="191" t="str">
        <f t="shared" si="8"/>
        <v>SAL LED bodovky 12V 2W nerez broušená teplá bílá</v>
      </c>
      <c r="E134" s="77" t="s">
        <v>1170</v>
      </c>
      <c r="F134" s="77" t="s">
        <v>1171</v>
      </c>
      <c r="G134" s="77" t="s">
        <v>1173</v>
      </c>
      <c r="H134" s="77" t="s">
        <v>1172</v>
      </c>
      <c r="I134" s="77" t="s">
        <v>795</v>
      </c>
      <c r="J134" s="90">
        <v>50</v>
      </c>
      <c r="K134" s="91">
        <v>1</v>
      </c>
      <c r="L134" s="77" t="s">
        <v>6565</v>
      </c>
      <c r="M134" s="78">
        <v>236.39616000000001</v>
      </c>
      <c r="N134" s="79">
        <v>10.07588</v>
      </c>
      <c r="O134" s="79">
        <v>30.700800000000001</v>
      </c>
      <c r="P134" s="79">
        <v>3490.05681</v>
      </c>
      <c r="Q134" s="77"/>
      <c r="R134" s="77"/>
      <c r="S134" s="77"/>
      <c r="T134" s="77"/>
      <c r="U134" s="77"/>
      <c r="V134" s="87"/>
      <c r="W134" s="87"/>
      <c r="X134" s="87"/>
      <c r="Y134" s="77"/>
      <c r="Z134" s="88"/>
      <c r="AA134" s="35"/>
      <c r="AB134" s="35"/>
    </row>
    <row r="135" spans="1:28" x14ac:dyDescent="0.25">
      <c r="A135" s="68" t="str">
        <f t="shared" si="6"/>
        <v>273892</v>
      </c>
      <c r="B135" s="10">
        <f t="shared" si="7"/>
        <v>76.576499999999996</v>
      </c>
      <c r="C135" s="77" t="s">
        <v>4823</v>
      </c>
      <c r="D135" s="191" t="str">
        <f t="shared" si="8"/>
        <v>SAL LED pásek 4,8W/m 12V 8mm červená</v>
      </c>
      <c r="E135" s="77" t="s">
        <v>1174</v>
      </c>
      <c r="F135" s="77" t="s">
        <v>1175</v>
      </c>
      <c r="G135" s="77" t="s">
        <v>1177</v>
      </c>
      <c r="H135" s="77" t="s">
        <v>1176</v>
      </c>
      <c r="I135" s="77" t="s">
        <v>992</v>
      </c>
      <c r="J135" s="90">
        <v>5</v>
      </c>
      <c r="K135" s="91">
        <v>5</v>
      </c>
      <c r="L135" s="77" t="s">
        <v>6565</v>
      </c>
      <c r="M135" s="78">
        <v>76.576499999999996</v>
      </c>
      <c r="N135" s="79">
        <v>3.2639</v>
      </c>
      <c r="O135" s="79">
        <v>9.9450000000000003</v>
      </c>
      <c r="P135" s="79">
        <v>1130.77863</v>
      </c>
      <c r="Q135" s="77"/>
      <c r="R135" s="77"/>
      <c r="S135" s="77"/>
      <c r="T135" s="77"/>
      <c r="U135" s="77"/>
      <c r="V135" s="87"/>
      <c r="W135" s="87"/>
      <c r="X135" s="87"/>
      <c r="Y135" s="77"/>
      <c r="Z135" s="88"/>
      <c r="AA135" s="35"/>
      <c r="AB135" s="35"/>
    </row>
    <row r="136" spans="1:28" x14ac:dyDescent="0.25">
      <c r="A136" s="68" t="str">
        <f t="shared" si="6"/>
        <v>268549</v>
      </c>
      <c r="B136" s="10">
        <f t="shared" si="7"/>
        <v>76.576499999999996</v>
      </c>
      <c r="C136" s="77" t="s">
        <v>4824</v>
      </c>
      <c r="D136" s="191" t="str">
        <f t="shared" si="8"/>
        <v>SAL LED pásek 4,8W/m 12V 8mm modrá IP20</v>
      </c>
      <c r="E136" s="77" t="s">
        <v>1178</v>
      </c>
      <c r="F136" s="77" t="s">
        <v>1179</v>
      </c>
      <c r="G136" s="77" t="s">
        <v>1181</v>
      </c>
      <c r="H136" s="77" t="s">
        <v>1180</v>
      </c>
      <c r="I136" s="77" t="s">
        <v>992</v>
      </c>
      <c r="J136" s="90">
        <v>5</v>
      </c>
      <c r="K136" s="91">
        <v>5</v>
      </c>
      <c r="L136" s="77" t="s">
        <v>6565</v>
      </c>
      <c r="M136" s="78">
        <v>76.576499999999996</v>
      </c>
      <c r="N136" s="79">
        <v>3.2639</v>
      </c>
      <c r="O136" s="79">
        <v>9.9450000000000003</v>
      </c>
      <c r="P136" s="79">
        <v>1130.77863</v>
      </c>
      <c r="Q136" s="77"/>
      <c r="R136" s="77"/>
      <c r="S136" s="77"/>
      <c r="T136" s="77"/>
      <c r="U136" s="77"/>
      <c r="V136" s="87"/>
      <c r="W136" s="87"/>
      <c r="X136" s="87"/>
      <c r="Y136" s="77"/>
      <c r="Z136" s="88"/>
      <c r="AA136" s="35"/>
      <c r="AB136" s="35"/>
    </row>
    <row r="137" spans="1:28" x14ac:dyDescent="0.25">
      <c r="A137" s="68" t="str">
        <f t="shared" si="6"/>
        <v>229892</v>
      </c>
      <c r="B137" s="10">
        <f t="shared" si="7"/>
        <v>112.25214</v>
      </c>
      <c r="C137" s="77" t="s">
        <v>4825</v>
      </c>
      <c r="D137" s="191" t="str">
        <f t="shared" si="8"/>
        <v>SAL LED světlo na skleněné police 0,25W modrá</v>
      </c>
      <c r="E137" s="77" t="s">
        <v>1182</v>
      </c>
      <c r="F137" s="77" t="s">
        <v>1183</v>
      </c>
      <c r="G137" s="77" t="s">
        <v>1185</v>
      </c>
      <c r="H137" s="77" t="s">
        <v>1184</v>
      </c>
      <c r="I137" s="77" t="s">
        <v>795</v>
      </c>
      <c r="J137" s="90">
        <v>1</v>
      </c>
      <c r="K137" s="91">
        <v>1</v>
      </c>
      <c r="L137" s="77" t="s">
        <v>6565</v>
      </c>
      <c r="M137" s="78">
        <v>112.25214</v>
      </c>
      <c r="N137" s="79">
        <v>4.7845300000000002</v>
      </c>
      <c r="O137" s="79">
        <v>14.578200000000001</v>
      </c>
      <c r="P137" s="79">
        <v>1658.4749999999999</v>
      </c>
      <c r="Q137" s="77"/>
      <c r="R137" s="77"/>
      <c r="S137" s="77"/>
      <c r="T137" s="77"/>
      <c r="U137" s="77"/>
      <c r="V137" s="87"/>
      <c r="W137" s="87"/>
      <c r="X137" s="87"/>
      <c r="Y137" s="77"/>
      <c r="Z137" s="88"/>
      <c r="AA137" s="35"/>
      <c r="AB137" s="35"/>
    </row>
    <row r="138" spans="1:28" x14ac:dyDescent="0.25">
      <c r="A138" s="68" t="str">
        <f t="shared" si="6"/>
        <v>500579</v>
      </c>
      <c r="B138" s="10">
        <f t="shared" si="7"/>
        <v>54.774720000000002</v>
      </c>
      <c r="C138" s="77" t="s">
        <v>4826</v>
      </c>
      <c r="D138" s="191" t="str">
        <f t="shared" si="8"/>
        <v>SAL LED světlo na skleněné police 0,25W zelená</v>
      </c>
      <c r="E138" s="77" t="s">
        <v>1186</v>
      </c>
      <c r="F138" s="77" t="s">
        <v>1187</v>
      </c>
      <c r="G138" s="77" t="s">
        <v>1189</v>
      </c>
      <c r="H138" s="77" t="s">
        <v>1188</v>
      </c>
      <c r="I138" s="77" t="s">
        <v>795</v>
      </c>
      <c r="J138" s="90">
        <v>1</v>
      </c>
      <c r="K138" s="91">
        <v>1</v>
      </c>
      <c r="L138" s="77" t="s">
        <v>6565</v>
      </c>
      <c r="M138" s="78">
        <v>54.774720000000002</v>
      </c>
      <c r="N138" s="79">
        <v>2.33467</v>
      </c>
      <c r="O138" s="79">
        <v>7.1135999999999999</v>
      </c>
      <c r="P138" s="79">
        <v>809.69318999999996</v>
      </c>
      <c r="Q138" s="77"/>
      <c r="R138" s="77"/>
      <c r="S138" s="77"/>
      <c r="T138" s="77"/>
      <c r="U138" s="77"/>
      <c r="V138" s="87"/>
      <c r="W138" s="87"/>
      <c r="X138" s="87"/>
      <c r="Y138" s="77"/>
      <c r="Z138" s="88"/>
      <c r="AA138" s="35"/>
      <c r="AB138" s="35"/>
    </row>
    <row r="139" spans="1:28" x14ac:dyDescent="0.25">
      <c r="A139" s="68" t="str">
        <f t="shared" si="6"/>
        <v>182993</v>
      </c>
      <c r="B139" s="10">
        <f t="shared" si="7"/>
        <v>72.252179999999996</v>
      </c>
      <c r="C139" s="77" t="s">
        <v>4827</v>
      </c>
      <c r="D139" s="191" t="str">
        <f t="shared" si="8"/>
        <v>SAL naklapávací krytka matná pro LED profil 2m</v>
      </c>
      <c r="E139" s="77" t="s">
        <v>1190</v>
      </c>
      <c r="F139" s="77" t="s">
        <v>1191</v>
      </c>
      <c r="G139" s="77" t="s">
        <v>1193</v>
      </c>
      <c r="H139" s="77" t="s">
        <v>1192</v>
      </c>
      <c r="I139" s="77" t="s">
        <v>795</v>
      </c>
      <c r="J139" s="90">
        <v>25</v>
      </c>
      <c r="K139" s="91">
        <v>1</v>
      </c>
      <c r="L139" s="77" t="s">
        <v>6565</v>
      </c>
      <c r="M139" s="78">
        <v>72.252179999999996</v>
      </c>
      <c r="N139" s="79">
        <v>3.0796100000000002</v>
      </c>
      <c r="O139" s="79">
        <v>9.3834</v>
      </c>
      <c r="P139" s="79">
        <v>1066.5613599999999</v>
      </c>
      <c r="Q139" s="77"/>
      <c r="R139" s="77"/>
      <c r="S139" s="77"/>
      <c r="T139" s="77"/>
      <c r="U139" s="77"/>
      <c r="V139" s="87"/>
      <c r="W139" s="87"/>
      <c r="X139" s="87"/>
      <c r="Y139" s="77"/>
      <c r="Z139" s="88"/>
      <c r="AA139" s="35"/>
      <c r="AB139" s="35"/>
    </row>
    <row r="140" spans="1:28" x14ac:dyDescent="0.25">
      <c r="A140" s="68" t="str">
        <f t="shared" si="6"/>
        <v>157752</v>
      </c>
      <c r="B140" s="10">
        <f t="shared" si="7"/>
        <v>73.709999999999994</v>
      </c>
      <c r="C140" s="77" t="s">
        <v>4828</v>
      </c>
      <c r="D140" s="191" t="str">
        <f t="shared" si="8"/>
        <v>SAL napájecí kabel bez vypínače 2m bílý</v>
      </c>
      <c r="E140" s="77" t="s">
        <v>1194</v>
      </c>
      <c r="F140" s="77" t="s">
        <v>1195</v>
      </c>
      <c r="G140" s="77" t="s">
        <v>1197</v>
      </c>
      <c r="H140" s="77" t="s">
        <v>1196</v>
      </c>
      <c r="I140" s="77" t="s">
        <v>795</v>
      </c>
      <c r="J140" s="90">
        <v>1</v>
      </c>
      <c r="K140" s="91">
        <v>1</v>
      </c>
      <c r="L140" s="77" t="s">
        <v>6565</v>
      </c>
      <c r="M140" s="78">
        <v>73.709999999999994</v>
      </c>
      <c r="N140" s="79">
        <v>3.0724999999999998</v>
      </c>
      <c r="O140" s="79">
        <v>9.5472000000000001</v>
      </c>
      <c r="P140" s="79">
        <v>1116.81819</v>
      </c>
      <c r="Q140" s="77"/>
      <c r="R140" s="77"/>
      <c r="S140" s="77"/>
      <c r="T140" s="77"/>
      <c r="U140" s="77"/>
      <c r="V140" s="87"/>
      <c r="W140" s="87"/>
      <c r="X140" s="87"/>
      <c r="Y140" s="77"/>
      <c r="Z140" s="88"/>
      <c r="AA140" s="35"/>
      <c r="AB140" s="35"/>
    </row>
    <row r="141" spans="1:28" x14ac:dyDescent="0.25">
      <c r="A141" s="68" t="str">
        <f t="shared" si="6"/>
        <v>157753</v>
      </c>
      <c r="B141" s="10">
        <f t="shared" si="7"/>
        <v>105.94584</v>
      </c>
      <c r="C141" s="77" t="s">
        <v>4829</v>
      </c>
      <c r="D141" s="191" t="str">
        <f t="shared" si="8"/>
        <v>SAL napájecí kabel bez vypínače 3m bílý</v>
      </c>
      <c r="E141" s="77" t="s">
        <v>1198</v>
      </c>
      <c r="F141" s="77" t="s">
        <v>1199</v>
      </c>
      <c r="G141" s="77" t="s">
        <v>1201</v>
      </c>
      <c r="H141" s="77" t="s">
        <v>1200</v>
      </c>
      <c r="I141" s="77" t="s">
        <v>795</v>
      </c>
      <c r="J141" s="90">
        <v>1</v>
      </c>
      <c r="K141" s="91">
        <v>1</v>
      </c>
      <c r="L141" s="77" t="s">
        <v>6565</v>
      </c>
      <c r="M141" s="78">
        <v>105.94584</v>
      </c>
      <c r="N141" s="79">
        <v>4.5157299999999996</v>
      </c>
      <c r="O141" s="79">
        <v>13.7592</v>
      </c>
      <c r="P141" s="79">
        <v>1563.5454500000001</v>
      </c>
      <c r="Q141" s="77"/>
      <c r="R141" s="77"/>
      <c r="S141" s="77"/>
      <c r="T141" s="77"/>
      <c r="U141" s="77"/>
      <c r="V141" s="87"/>
      <c r="W141" s="87"/>
      <c r="X141" s="87"/>
      <c r="Y141" s="77"/>
      <c r="Z141" s="88"/>
      <c r="AA141" s="35"/>
      <c r="AB141" s="35"/>
    </row>
    <row r="142" spans="1:28" x14ac:dyDescent="0.25">
      <c r="A142" s="68" t="str">
        <f t="shared" si="6"/>
        <v>389913</v>
      </c>
      <c r="B142" s="10">
        <f t="shared" si="7"/>
        <v>236.39616000000001</v>
      </c>
      <c r="C142" s="77" t="s">
        <v>4830</v>
      </c>
      <c r="D142" s="191" t="str">
        <f t="shared" si="8"/>
        <v>SAL-LED bodovka 12V  2W staromosaz neutrální bílá</v>
      </c>
      <c r="E142" s="77" t="s">
        <v>1202</v>
      </c>
      <c r="F142" s="77" t="s">
        <v>1203</v>
      </c>
      <c r="G142" s="77" t="s">
        <v>1205</v>
      </c>
      <c r="H142" s="77" t="s">
        <v>1204</v>
      </c>
      <c r="I142" s="77" t="s">
        <v>795</v>
      </c>
      <c r="J142" s="90">
        <v>50</v>
      </c>
      <c r="K142" s="91">
        <v>1</v>
      </c>
      <c r="L142" s="77" t="s">
        <v>6565</v>
      </c>
      <c r="M142" s="78">
        <v>236.39616000000001</v>
      </c>
      <c r="N142" s="79">
        <v>10.07588</v>
      </c>
      <c r="O142" s="79">
        <v>30.700800000000001</v>
      </c>
      <c r="P142" s="79">
        <v>4645.9636399999999</v>
      </c>
      <c r="Q142" s="77"/>
      <c r="R142" s="77"/>
      <c r="S142" s="77"/>
      <c r="T142" s="77"/>
      <c r="U142" s="77"/>
      <c r="V142" s="87"/>
      <c r="W142" s="87"/>
      <c r="X142" s="87"/>
      <c r="Y142" s="77"/>
      <c r="Z142" s="88"/>
      <c r="AA142" s="35"/>
      <c r="AB142" s="35"/>
    </row>
    <row r="143" spans="1:28" x14ac:dyDescent="0.25">
      <c r="A143" s="68" t="str">
        <f t="shared" si="6"/>
        <v>347253</v>
      </c>
      <c r="B143" s="10">
        <f t="shared" si="7"/>
        <v>39.311999999999998</v>
      </c>
      <c r="C143" s="77" t="s">
        <v>4831</v>
      </c>
      <c r="D143" s="191" t="str">
        <f t="shared" si="8"/>
        <v>SK-H-2.5MM2 PP M Svorkovnice</v>
      </c>
      <c r="E143" s="77" t="s">
        <v>1206</v>
      </c>
      <c r="F143" s="77" t="s">
        <v>1207</v>
      </c>
      <c r="G143" s="77" t="s">
        <v>1209</v>
      </c>
      <c r="H143" s="77" t="s">
        <v>1208</v>
      </c>
      <c r="I143" s="77" t="s">
        <v>795</v>
      </c>
      <c r="J143" s="90">
        <v>10</v>
      </c>
      <c r="K143" s="91">
        <v>10</v>
      </c>
      <c r="L143" s="77" t="s">
        <v>6565</v>
      </c>
      <c r="M143" s="78">
        <v>39.311999999999998</v>
      </c>
      <c r="N143" s="79">
        <v>1.6756</v>
      </c>
      <c r="O143" s="79">
        <v>5.1054599999999999</v>
      </c>
      <c r="P143" s="79">
        <v>544.29906000000005</v>
      </c>
      <c r="Q143" s="77"/>
      <c r="R143" s="77"/>
      <c r="S143" s="77"/>
      <c r="T143" s="77"/>
      <c r="U143" s="77"/>
      <c r="V143" s="87"/>
      <c r="W143" s="87"/>
      <c r="X143" s="87"/>
      <c r="Y143" s="77"/>
      <c r="Z143" s="88"/>
      <c r="AA143" s="35"/>
      <c r="AB143" s="35"/>
    </row>
    <row r="144" spans="1:28" x14ac:dyDescent="0.25">
      <c r="A144" s="68" t="str">
        <f t="shared" si="6"/>
        <v>273992</v>
      </c>
      <c r="B144" s="10">
        <f t="shared" si="7"/>
        <v>44.887500000000003</v>
      </c>
      <c r="C144" s="77" t="s">
        <v>4832</v>
      </c>
      <c r="D144" s="191" t="str">
        <f t="shared" si="8"/>
        <v>S-kolébkový vypínač k LED dnům</v>
      </c>
      <c r="E144" s="77" t="s">
        <v>1210</v>
      </c>
      <c r="F144" s="77" t="s">
        <v>1211</v>
      </c>
      <c r="G144" s="77" t="s">
        <v>1213</v>
      </c>
      <c r="H144" s="77" t="s">
        <v>1212</v>
      </c>
      <c r="I144" s="77" t="s">
        <v>795</v>
      </c>
      <c r="J144" s="90">
        <v>20</v>
      </c>
      <c r="K144" s="91">
        <v>1</v>
      </c>
      <c r="L144" s="77" t="s">
        <v>6567</v>
      </c>
      <c r="M144" s="78">
        <v>44.887500000000003</v>
      </c>
      <c r="N144" s="79">
        <v>1.9132400000000001</v>
      </c>
      <c r="O144" s="79">
        <v>5.7</v>
      </c>
      <c r="P144" s="79">
        <v>680.11364000000003</v>
      </c>
      <c r="Q144" s="77"/>
      <c r="R144" s="77"/>
      <c r="S144" s="77"/>
      <c r="T144" s="77"/>
      <c r="U144" s="77"/>
      <c r="V144" s="87"/>
      <c r="W144" s="87"/>
      <c r="X144" s="87"/>
      <c r="Y144" s="77"/>
      <c r="Z144" s="88"/>
      <c r="AA144" s="35"/>
      <c r="AB144" s="35"/>
    </row>
    <row r="145" spans="1:28" x14ac:dyDescent="0.25">
      <c r="A145" s="68" t="str">
        <f t="shared" si="6"/>
        <v>392296</v>
      </c>
      <c r="B145" s="10">
        <f t="shared" si="7"/>
        <v>70.433999999999997</v>
      </c>
      <c r="C145" s="77" t="s">
        <v>4833</v>
      </c>
      <c r="D145" s="191" t="str">
        <f t="shared" si="8"/>
        <v>SK-propojovací kabel bílý 200mm Mera LED PP</v>
      </c>
      <c r="E145" s="77" t="s">
        <v>1214</v>
      </c>
      <c r="F145" s="77" t="s">
        <v>1215</v>
      </c>
      <c r="G145" s="77" t="s">
        <v>1217</v>
      </c>
      <c r="H145" s="77" t="s">
        <v>1216</v>
      </c>
      <c r="I145" s="77" t="s">
        <v>795</v>
      </c>
      <c r="J145" s="90">
        <v>1</v>
      </c>
      <c r="K145" s="91">
        <v>1</v>
      </c>
      <c r="L145" s="77" t="s">
        <v>227</v>
      </c>
      <c r="M145" s="78">
        <v>70.433999999999997</v>
      </c>
      <c r="N145" s="79">
        <v>3.0021</v>
      </c>
      <c r="O145" s="79">
        <v>11.44</v>
      </c>
      <c r="P145" s="79">
        <v>1067.18181</v>
      </c>
      <c r="Q145" s="77"/>
      <c r="R145" s="77"/>
      <c r="S145" s="77"/>
      <c r="T145" s="77"/>
      <c r="U145" s="77"/>
      <c r="V145" s="87"/>
      <c r="W145" s="87"/>
      <c r="X145" s="87"/>
      <c r="Y145" s="77"/>
      <c r="Z145" s="88"/>
      <c r="AA145" s="35"/>
      <c r="AB145" s="35"/>
    </row>
    <row r="146" spans="1:28" x14ac:dyDescent="0.25">
      <c r="A146" s="68" t="str">
        <f t="shared" si="6"/>
        <v>301682</v>
      </c>
      <c r="B146" s="10">
        <f t="shared" si="7"/>
        <v>472.5</v>
      </c>
      <c r="C146" s="77" t="s">
        <v>4834</v>
      </c>
      <c r="D146" s="191" t="str">
        <f t="shared" si="8"/>
        <v>S-LED krytka click mléčná 3m</v>
      </c>
      <c r="E146" s="77" t="s">
        <v>1218</v>
      </c>
      <c r="F146" s="77" t="s">
        <v>1219</v>
      </c>
      <c r="G146" s="77" t="s">
        <v>1221</v>
      </c>
      <c r="H146" s="77" t="s">
        <v>1220</v>
      </c>
      <c r="I146" s="77" t="s">
        <v>795</v>
      </c>
      <c r="J146" s="90">
        <v>100</v>
      </c>
      <c r="K146" s="91">
        <v>1</v>
      </c>
      <c r="L146" s="77" t="s">
        <v>6565</v>
      </c>
      <c r="M146" s="78">
        <v>472.5</v>
      </c>
      <c r="N146" s="79">
        <v>18.62612</v>
      </c>
      <c r="O146" s="79">
        <v>48.907890000000002</v>
      </c>
      <c r="P146" s="79">
        <v>6696.4285900000004</v>
      </c>
      <c r="Q146" s="77"/>
      <c r="R146" s="77"/>
      <c r="S146" s="77"/>
      <c r="T146" s="77"/>
      <c r="U146" s="77"/>
      <c r="V146" s="87"/>
      <c r="W146" s="87"/>
      <c r="X146" s="87"/>
      <c r="Y146" s="77"/>
      <c r="Z146" s="88"/>
      <c r="AA146" s="35"/>
      <c r="AB146" s="35"/>
    </row>
    <row r="147" spans="1:28" x14ac:dyDescent="0.25">
      <c r="A147" s="68" t="str">
        <f t="shared" si="6"/>
        <v>301610</v>
      </c>
      <c r="B147" s="10">
        <f t="shared" si="7"/>
        <v>1409.4</v>
      </c>
      <c r="C147" s="77" t="s">
        <v>4835</v>
      </c>
      <c r="D147" s="191" t="str">
        <f t="shared" si="8"/>
        <v>S-LED narážecí profil včetně těsnění 3m</v>
      </c>
      <c r="E147" s="77" t="s">
        <v>1222</v>
      </c>
      <c r="F147" s="77" t="s">
        <v>1223</v>
      </c>
      <c r="G147" s="77" t="s">
        <v>1225</v>
      </c>
      <c r="H147" s="77" t="s">
        <v>1224</v>
      </c>
      <c r="I147" s="77" t="s">
        <v>795</v>
      </c>
      <c r="J147" s="90">
        <v>100</v>
      </c>
      <c r="K147" s="91">
        <v>1</v>
      </c>
      <c r="L147" s="77" t="s">
        <v>6565</v>
      </c>
      <c r="M147" s="78">
        <v>1409.4</v>
      </c>
      <c r="N147" s="79">
        <v>54.469560000000001</v>
      </c>
      <c r="O147" s="79">
        <v>170.19947999999999</v>
      </c>
      <c r="P147" s="79">
        <v>19761.42856</v>
      </c>
      <c r="Q147" s="77"/>
      <c r="R147" s="77"/>
      <c r="S147" s="77"/>
      <c r="T147" s="77"/>
      <c r="U147" s="77"/>
      <c r="V147" s="87"/>
      <c r="W147" s="87"/>
      <c r="X147" s="87"/>
      <c r="Y147" s="77"/>
      <c r="Z147" s="88"/>
      <c r="AA147" s="35"/>
      <c r="AB147" s="35"/>
    </row>
    <row r="148" spans="1:28" x14ac:dyDescent="0.25">
      <c r="A148" s="68" t="str">
        <f t="shared" si="6"/>
        <v>388254</v>
      </c>
      <c r="B148" s="10">
        <f t="shared" si="7"/>
        <v>44.985019999999999</v>
      </c>
      <c r="C148" s="77" t="s">
        <v>4836</v>
      </c>
      <c r="D148" s="191" t="str">
        <f t="shared" si="8"/>
        <v>Spojka RGBW LED pásků rohová - tvar L</v>
      </c>
      <c r="E148" s="77" t="s">
        <v>1226</v>
      </c>
      <c r="F148" s="77" t="s">
        <v>1227</v>
      </c>
      <c r="G148" s="77" t="s">
        <v>1229</v>
      </c>
      <c r="H148" s="77" t="s">
        <v>1228</v>
      </c>
      <c r="I148" s="77" t="s">
        <v>795</v>
      </c>
      <c r="J148" s="90">
        <v>100</v>
      </c>
      <c r="K148" s="91">
        <v>1</v>
      </c>
      <c r="L148" s="77" t="s">
        <v>160</v>
      </c>
      <c r="M148" s="78">
        <v>44.985019999999999</v>
      </c>
      <c r="N148" s="79">
        <v>1.8834900000000001</v>
      </c>
      <c r="O148" s="79">
        <v>6.3524599999999998</v>
      </c>
      <c r="P148" s="79">
        <v>664.09505999999999</v>
      </c>
      <c r="Q148" s="77"/>
      <c r="R148" s="77"/>
      <c r="S148" s="77"/>
      <c r="T148" s="77"/>
      <c r="U148" s="77"/>
      <c r="V148" s="87"/>
      <c r="W148" s="87"/>
      <c r="X148" s="87"/>
      <c r="Y148" s="77"/>
      <c r="Z148" s="88"/>
      <c r="AA148" s="35"/>
      <c r="AB148" s="35"/>
    </row>
    <row r="149" spans="1:28" x14ac:dyDescent="0.25">
      <c r="A149" s="68" t="str">
        <f t="shared" si="6"/>
        <v>460511</v>
      </c>
      <c r="B149" s="10">
        <f t="shared" si="7"/>
        <v>119.7</v>
      </c>
      <c r="C149" s="77" t="s">
        <v>4837</v>
      </c>
      <c r="D149" s="191" t="str">
        <f t="shared" si="8"/>
        <v>Stahovací páska 3,6x370mm černá, balení 100 ks</v>
      </c>
      <c r="E149" s="77" t="s">
        <v>1230</v>
      </c>
      <c r="F149" s="77" t="s">
        <v>1231</v>
      </c>
      <c r="G149" s="77" t="s">
        <v>1234</v>
      </c>
      <c r="H149" s="77" t="s">
        <v>1233</v>
      </c>
      <c r="I149" s="77" t="s">
        <v>1232</v>
      </c>
      <c r="J149" s="90">
        <v>1</v>
      </c>
      <c r="K149" s="91">
        <v>1</v>
      </c>
      <c r="L149" s="77" t="s">
        <v>160</v>
      </c>
      <c r="M149" s="78">
        <v>119.7</v>
      </c>
      <c r="N149" s="79">
        <v>4.9895199999999997</v>
      </c>
      <c r="O149" s="79">
        <v>15.912000000000001</v>
      </c>
      <c r="P149" s="79">
        <v>1813.63636</v>
      </c>
      <c r="Q149" s="77"/>
      <c r="R149" s="77"/>
      <c r="S149" s="77"/>
      <c r="T149" s="77"/>
      <c r="U149" s="77"/>
      <c r="V149" s="87"/>
      <c r="W149" s="87"/>
      <c r="X149" s="87"/>
      <c r="Y149" s="77"/>
      <c r="Z149" s="88"/>
      <c r="AA149" s="35"/>
      <c r="AB149" s="35"/>
    </row>
    <row r="150" spans="1:28" x14ac:dyDescent="0.25">
      <c r="A150" s="68" t="str">
        <f t="shared" si="6"/>
        <v>134105</v>
      </c>
      <c r="B150" s="10">
        <f t="shared" si="7"/>
        <v>53.04</v>
      </c>
      <c r="C150" s="77" t="s">
        <v>4838</v>
      </c>
      <c r="D150" s="191" t="str">
        <f t="shared" si="8"/>
        <v>STRONG LED pásek 7,2W/m 12V 10mm bílá studená IP65</v>
      </c>
      <c r="E150" s="77" t="s">
        <v>1235</v>
      </c>
      <c r="F150" s="77" t="s">
        <v>1236</v>
      </c>
      <c r="G150" s="77" t="s">
        <v>1238</v>
      </c>
      <c r="H150" s="77" t="s">
        <v>1237</v>
      </c>
      <c r="I150" s="77" t="s">
        <v>992</v>
      </c>
      <c r="J150" s="90">
        <v>5</v>
      </c>
      <c r="K150" s="91">
        <v>1</v>
      </c>
      <c r="L150" s="77" t="s">
        <v>160</v>
      </c>
      <c r="M150" s="78">
        <v>53.04</v>
      </c>
      <c r="N150" s="79">
        <v>2.0987100000000001</v>
      </c>
      <c r="O150" s="79">
        <v>11.487439999999999</v>
      </c>
      <c r="P150" s="79">
        <v>938.69476999999995</v>
      </c>
      <c r="Q150" s="77"/>
      <c r="R150" s="77"/>
      <c r="S150" s="77"/>
      <c r="T150" s="77"/>
      <c r="U150" s="77"/>
      <c r="V150" s="87"/>
      <c r="W150" s="87"/>
      <c r="X150" s="87"/>
      <c r="Y150" s="77"/>
      <c r="Z150" s="88"/>
      <c r="AA150" s="35"/>
      <c r="AB150" s="35"/>
    </row>
    <row r="151" spans="1:28" x14ac:dyDescent="0.25">
      <c r="A151" s="68" t="str">
        <f t="shared" si="6"/>
        <v>551044</v>
      </c>
      <c r="B151" s="10">
        <f t="shared" si="7"/>
        <v>0</v>
      </c>
      <c r="C151" s="77" t="s">
        <v>4839</v>
      </c>
      <c r="D151" s="191" t="str">
        <f t="shared" si="8"/>
        <v>StrongLumio</v>
      </c>
      <c r="E151" s="77" t="s">
        <v>0</v>
      </c>
      <c r="F151" s="77" t="s">
        <v>794</v>
      </c>
      <c r="G151" s="77" t="s">
        <v>794</v>
      </c>
      <c r="H151" s="77" t="s">
        <v>794</v>
      </c>
      <c r="I151" s="77" t="s">
        <v>795</v>
      </c>
      <c r="J151" s="90">
        <v>10</v>
      </c>
      <c r="K151" s="91">
        <v>1</v>
      </c>
      <c r="L151" s="77" t="s">
        <v>6566</v>
      </c>
      <c r="M151" s="78">
        <v>0</v>
      </c>
      <c r="N151" s="79">
        <v>0</v>
      </c>
      <c r="O151" s="79">
        <v>0</v>
      </c>
      <c r="P151" s="79">
        <v>0</v>
      </c>
      <c r="Q151" s="77"/>
      <c r="R151" s="77"/>
      <c r="S151" s="77"/>
      <c r="T151" s="77"/>
      <c r="U151" s="77"/>
      <c r="V151" s="87"/>
      <c r="W151" s="87"/>
      <c r="X151" s="87"/>
      <c r="Y151" s="77"/>
      <c r="Z151" s="88"/>
      <c r="AA151" s="35"/>
      <c r="AB151" s="35"/>
    </row>
    <row r="152" spans="1:28" x14ac:dyDescent="0.25">
      <c r="A152" s="68" t="str">
        <f t="shared" si="6"/>
        <v>486290</v>
      </c>
      <c r="B152" s="10">
        <f t="shared" si="7"/>
        <v>666.92808000000002</v>
      </c>
      <c r="C152" s="77" t="s">
        <v>4840</v>
      </c>
      <c r="D152" s="191" t="str">
        <f t="shared" si="8"/>
        <v>StrongLumio All in One unit 24V 100W (CCT)</v>
      </c>
      <c r="E152" s="77" t="s">
        <v>1239</v>
      </c>
      <c r="F152" s="77" t="s">
        <v>1239</v>
      </c>
      <c r="G152" s="77" t="s">
        <v>1239</v>
      </c>
      <c r="H152" s="77" t="s">
        <v>1239</v>
      </c>
      <c r="I152" s="77" t="s">
        <v>889</v>
      </c>
      <c r="J152" s="90">
        <v>1</v>
      </c>
      <c r="K152" s="91">
        <v>1</v>
      </c>
      <c r="L152" s="77" t="s">
        <v>6566</v>
      </c>
      <c r="M152" s="78">
        <v>666.92808000000002</v>
      </c>
      <c r="N152" s="79">
        <v>29.700659999999999</v>
      </c>
      <c r="O152" s="79">
        <v>117.32971999999999</v>
      </c>
      <c r="P152" s="79">
        <v>10826.75455</v>
      </c>
      <c r="Q152" s="77"/>
      <c r="R152" s="77"/>
      <c r="S152" s="77"/>
      <c r="T152" s="77"/>
      <c r="U152" s="77"/>
      <c r="V152" s="87"/>
      <c r="W152" s="87"/>
      <c r="X152" s="87"/>
      <c r="Y152" s="77"/>
      <c r="Z152" s="88"/>
      <c r="AA152" s="35"/>
      <c r="AB152" s="35"/>
    </row>
    <row r="153" spans="1:28" x14ac:dyDescent="0.25">
      <c r="A153" s="68" t="str">
        <f t="shared" si="6"/>
        <v>486291</v>
      </c>
      <c r="B153" s="10">
        <f t="shared" si="7"/>
        <v>695.83924999999999</v>
      </c>
      <c r="C153" s="77" t="s">
        <v>4841</v>
      </c>
      <c r="D153" s="191" t="str">
        <f t="shared" si="8"/>
        <v>StrongLumio All in One unit 24V 100W (RGB)</v>
      </c>
      <c r="E153" s="77" t="s">
        <v>1240</v>
      </c>
      <c r="F153" s="77" t="s">
        <v>1240</v>
      </c>
      <c r="G153" s="77" t="s">
        <v>1240</v>
      </c>
      <c r="H153" s="77" t="s">
        <v>1240</v>
      </c>
      <c r="I153" s="77" t="s">
        <v>889</v>
      </c>
      <c r="J153" s="90">
        <v>1</v>
      </c>
      <c r="K153" s="91">
        <v>1</v>
      </c>
      <c r="L153" s="77" t="s">
        <v>6566</v>
      </c>
      <c r="M153" s="78">
        <v>695.83924999999999</v>
      </c>
      <c r="N153" s="79">
        <v>30.98817</v>
      </c>
      <c r="O153" s="79">
        <v>123.40749</v>
      </c>
      <c r="P153" s="79">
        <v>11296.091689999999</v>
      </c>
      <c r="Q153" s="77"/>
      <c r="R153" s="77"/>
      <c r="S153" s="77"/>
      <c r="T153" s="77"/>
      <c r="U153" s="77"/>
      <c r="V153" s="87"/>
      <c r="W153" s="87"/>
      <c r="X153" s="87"/>
      <c r="Y153" s="77"/>
      <c r="Z153" s="88"/>
      <c r="AA153" s="35"/>
      <c r="AB153" s="35"/>
    </row>
    <row r="154" spans="1:28" x14ac:dyDescent="0.25">
      <c r="A154" s="68" t="str">
        <f t="shared" si="6"/>
        <v>486293</v>
      </c>
      <c r="B154" s="10">
        <f t="shared" si="7"/>
        <v>718.50823000000003</v>
      </c>
      <c r="C154" s="77" t="s">
        <v>4842</v>
      </c>
      <c r="D154" s="191" t="str">
        <f t="shared" si="8"/>
        <v>StrongLumio All in One unit 24V 100W (RGBCCT)</v>
      </c>
      <c r="E154" s="77" t="s">
        <v>1241</v>
      </c>
      <c r="F154" s="77" t="s">
        <v>1241</v>
      </c>
      <c r="G154" s="77" t="s">
        <v>1241</v>
      </c>
      <c r="H154" s="77" t="s">
        <v>1241</v>
      </c>
      <c r="I154" s="77" t="s">
        <v>889</v>
      </c>
      <c r="J154" s="90">
        <v>1</v>
      </c>
      <c r="K154" s="91">
        <v>1</v>
      </c>
      <c r="L154" s="77" t="s">
        <v>6566</v>
      </c>
      <c r="M154" s="78">
        <v>718.50823000000003</v>
      </c>
      <c r="N154" s="79">
        <v>31.997689999999999</v>
      </c>
      <c r="O154" s="79">
        <v>124.91970000000001</v>
      </c>
      <c r="P154" s="79">
        <v>11664.09468</v>
      </c>
      <c r="Q154" s="77"/>
      <c r="R154" s="77"/>
      <c r="S154" s="77"/>
      <c r="T154" s="77"/>
      <c r="U154" s="77"/>
      <c r="V154" s="87"/>
      <c r="W154" s="87"/>
      <c r="X154" s="87"/>
      <c r="Y154" s="77"/>
      <c r="Z154" s="88"/>
      <c r="AA154" s="35"/>
      <c r="AB154" s="35"/>
    </row>
    <row r="155" spans="1:28" x14ac:dyDescent="0.25">
      <c r="A155" s="68" t="str">
        <f t="shared" si="6"/>
        <v>486292</v>
      </c>
      <c r="B155" s="10">
        <f t="shared" si="7"/>
        <v>693.86802999999998</v>
      </c>
      <c r="C155" s="77" t="s">
        <v>4843</v>
      </c>
      <c r="D155" s="191" t="str">
        <f t="shared" si="8"/>
        <v>StrongLumio All in One unit 24V 100W (RGBW)</v>
      </c>
      <c r="E155" s="77" t="s">
        <v>1242</v>
      </c>
      <c r="F155" s="77" t="s">
        <v>1242</v>
      </c>
      <c r="G155" s="77" t="s">
        <v>1242</v>
      </c>
      <c r="H155" s="77" t="s">
        <v>1242</v>
      </c>
      <c r="I155" s="77" t="s">
        <v>889</v>
      </c>
      <c r="J155" s="90">
        <v>1</v>
      </c>
      <c r="K155" s="91">
        <v>1</v>
      </c>
      <c r="L155" s="77" t="s">
        <v>6566</v>
      </c>
      <c r="M155" s="78">
        <v>693.86802999999998</v>
      </c>
      <c r="N155" s="79">
        <v>30.900390000000002</v>
      </c>
      <c r="O155" s="79">
        <v>120.62322</v>
      </c>
      <c r="P155" s="79">
        <v>11264.091420000001</v>
      </c>
      <c r="Q155" s="77"/>
      <c r="R155" s="77"/>
      <c r="S155" s="77"/>
      <c r="T155" s="77"/>
      <c r="U155" s="77"/>
      <c r="V155" s="87"/>
      <c r="W155" s="87"/>
      <c r="X155" s="87"/>
      <c r="Y155" s="77"/>
      <c r="Z155" s="88"/>
      <c r="AA155" s="35"/>
      <c r="AB155" s="35"/>
    </row>
    <row r="156" spans="1:28" x14ac:dyDescent="0.25">
      <c r="A156" s="68" t="str">
        <f t="shared" si="6"/>
        <v>486289</v>
      </c>
      <c r="B156" s="10">
        <f t="shared" si="7"/>
        <v>636.70276999999999</v>
      </c>
      <c r="C156" s="77" t="s">
        <v>4844</v>
      </c>
      <c r="D156" s="191" t="str">
        <f t="shared" si="8"/>
        <v>StrongLumio All in One unit 24V 100W (stmívání)</v>
      </c>
      <c r="E156" s="77" t="s">
        <v>1243</v>
      </c>
      <c r="F156" s="77" t="s">
        <v>1244</v>
      </c>
      <c r="G156" s="77" t="s">
        <v>1246</v>
      </c>
      <c r="H156" s="77" t="s">
        <v>1245</v>
      </c>
      <c r="I156" s="77" t="s">
        <v>889</v>
      </c>
      <c r="J156" s="90">
        <v>1</v>
      </c>
      <c r="K156" s="91">
        <v>1</v>
      </c>
      <c r="L156" s="77" t="s">
        <v>6566</v>
      </c>
      <c r="M156" s="78">
        <v>636.70276999999999</v>
      </c>
      <c r="N156" s="79">
        <v>28.354610000000001</v>
      </c>
      <c r="O156" s="79">
        <v>119.88464</v>
      </c>
      <c r="P156" s="79">
        <v>10336.0839</v>
      </c>
      <c r="Q156" s="77"/>
      <c r="R156" s="77"/>
      <c r="S156" s="77"/>
      <c r="T156" s="77"/>
      <c r="U156" s="77"/>
      <c r="V156" s="87"/>
      <c r="W156" s="87"/>
      <c r="X156" s="87"/>
      <c r="Y156" s="77"/>
      <c r="Z156" s="88"/>
      <c r="AA156" s="35"/>
      <c r="AB156" s="35"/>
    </row>
    <row r="157" spans="1:28" x14ac:dyDescent="0.25">
      <c r="A157" s="68" t="str">
        <f t="shared" si="6"/>
        <v>486285</v>
      </c>
      <c r="B157" s="10">
        <f t="shared" si="7"/>
        <v>525.6576</v>
      </c>
      <c r="C157" s="77" t="s">
        <v>4845</v>
      </c>
      <c r="D157" s="191" t="str">
        <f t="shared" si="8"/>
        <v>StrongLumio All in One unit 24V 50W (CCT)</v>
      </c>
      <c r="E157" s="77" t="s">
        <v>1247</v>
      </c>
      <c r="F157" s="77" t="s">
        <v>1247</v>
      </c>
      <c r="G157" s="77" t="s">
        <v>1247</v>
      </c>
      <c r="H157" s="77" t="s">
        <v>1247</v>
      </c>
      <c r="I157" s="77" t="s">
        <v>889</v>
      </c>
      <c r="J157" s="90">
        <v>1</v>
      </c>
      <c r="K157" s="91">
        <v>1</v>
      </c>
      <c r="L157" s="77" t="s">
        <v>6566</v>
      </c>
      <c r="M157" s="78">
        <v>525.6576</v>
      </c>
      <c r="N157" s="79">
        <v>23.409369999999999</v>
      </c>
      <c r="O157" s="79">
        <v>94.032060000000001</v>
      </c>
      <c r="P157" s="79">
        <v>8533.4025899999997</v>
      </c>
      <c r="Q157" s="77"/>
      <c r="R157" s="77"/>
      <c r="S157" s="77"/>
      <c r="T157" s="77"/>
      <c r="U157" s="77"/>
      <c r="V157" s="87"/>
      <c r="W157" s="87"/>
      <c r="X157" s="87"/>
      <c r="Y157" s="77"/>
      <c r="Z157" s="88"/>
      <c r="AA157" s="35"/>
      <c r="AB157" s="35"/>
    </row>
    <row r="158" spans="1:28" x14ac:dyDescent="0.25">
      <c r="A158" s="68" t="str">
        <f t="shared" ref="A158:A221" si="9">C158</f>
        <v>486286</v>
      </c>
      <c r="B158" s="10">
        <f t="shared" si="7"/>
        <v>551.28341</v>
      </c>
      <c r="C158" s="77" t="s">
        <v>4846</v>
      </c>
      <c r="D158" s="191" t="str">
        <f t="shared" si="8"/>
        <v>StrongLumio All in One unit 24V 50W (RGB)</v>
      </c>
      <c r="E158" s="77" t="s">
        <v>1248</v>
      </c>
      <c r="F158" s="77" t="s">
        <v>1248</v>
      </c>
      <c r="G158" s="77" t="s">
        <v>1248</v>
      </c>
      <c r="H158" s="77" t="s">
        <v>1248</v>
      </c>
      <c r="I158" s="77" t="s">
        <v>889</v>
      </c>
      <c r="J158" s="90">
        <v>1</v>
      </c>
      <c r="K158" s="91">
        <v>1</v>
      </c>
      <c r="L158" s="77" t="s">
        <v>6566</v>
      </c>
      <c r="M158" s="78">
        <v>551.28341</v>
      </c>
      <c r="N158" s="79">
        <v>24.55059</v>
      </c>
      <c r="O158" s="79">
        <v>97.893519999999995</v>
      </c>
      <c r="P158" s="79">
        <v>8949.4059699999998</v>
      </c>
      <c r="Q158" s="77"/>
      <c r="R158" s="77"/>
      <c r="S158" s="77"/>
      <c r="T158" s="77"/>
      <c r="U158" s="77"/>
      <c r="V158" s="87"/>
      <c r="W158" s="87"/>
      <c r="X158" s="87"/>
      <c r="Y158" s="77"/>
      <c r="Z158" s="88"/>
      <c r="AA158" s="35"/>
      <c r="AB158" s="35"/>
    </row>
    <row r="159" spans="1:28" x14ac:dyDescent="0.25">
      <c r="A159" s="68" t="str">
        <f t="shared" si="9"/>
        <v>486288</v>
      </c>
      <c r="B159" s="10">
        <f t="shared" si="7"/>
        <v>570.66702999999995</v>
      </c>
      <c r="C159" s="77" t="s">
        <v>4847</v>
      </c>
      <c r="D159" s="191" t="str">
        <f t="shared" si="8"/>
        <v>StrongLumio All in One unit 24V 50W (RGBCCT)</v>
      </c>
      <c r="E159" s="77" t="s">
        <v>1249</v>
      </c>
      <c r="F159" s="77" t="s">
        <v>1249</v>
      </c>
      <c r="G159" s="77" t="s">
        <v>1249</v>
      </c>
      <c r="H159" s="77" t="s">
        <v>1249</v>
      </c>
      <c r="I159" s="77" t="s">
        <v>889</v>
      </c>
      <c r="J159" s="90">
        <v>1</v>
      </c>
      <c r="K159" s="91">
        <v>1</v>
      </c>
      <c r="L159" s="77" t="s">
        <v>6566</v>
      </c>
      <c r="M159" s="78">
        <v>570.66702999999995</v>
      </c>
      <c r="N159" s="79">
        <v>25.413799999999998</v>
      </c>
      <c r="O159" s="79">
        <v>99.423090000000002</v>
      </c>
      <c r="P159" s="79">
        <v>9264.0751999999993</v>
      </c>
      <c r="Q159" s="77"/>
      <c r="R159" s="77"/>
      <c r="S159" s="77"/>
      <c r="T159" s="77"/>
      <c r="U159" s="77"/>
      <c r="V159" s="87"/>
      <c r="W159" s="87"/>
      <c r="X159" s="87"/>
      <c r="Y159" s="77"/>
      <c r="Z159" s="88"/>
      <c r="AA159" s="35"/>
      <c r="AB159" s="35"/>
    </row>
    <row r="160" spans="1:28" x14ac:dyDescent="0.25">
      <c r="A160" s="68" t="str">
        <f t="shared" si="9"/>
        <v>486287</v>
      </c>
      <c r="B160" s="10">
        <f t="shared" ref="B160:B223" si="10">IF($B$1=1,M160,IF($B$1=2,N160,IF($B$1=3,O160,IF($B$1=4,P160))))</f>
        <v>546.02683000000002</v>
      </c>
      <c r="C160" s="77" t="s">
        <v>4848</v>
      </c>
      <c r="D160" s="191" t="str">
        <f t="shared" si="8"/>
        <v>StrongLumio All in One unit 24V 50W (RGBW)</v>
      </c>
      <c r="E160" s="77" t="s">
        <v>1250</v>
      </c>
      <c r="F160" s="77" t="s">
        <v>1250</v>
      </c>
      <c r="G160" s="77" t="s">
        <v>1250</v>
      </c>
      <c r="H160" s="77" t="s">
        <v>1250</v>
      </c>
      <c r="I160" s="77" t="s">
        <v>889</v>
      </c>
      <c r="J160" s="90">
        <v>1</v>
      </c>
      <c r="K160" s="91">
        <v>1</v>
      </c>
      <c r="L160" s="77" t="s">
        <v>6566</v>
      </c>
      <c r="M160" s="78">
        <v>546.02683000000002</v>
      </c>
      <c r="N160" s="79">
        <v>24.316500000000001</v>
      </c>
      <c r="O160" s="79">
        <v>95.166719999999998</v>
      </c>
      <c r="P160" s="79">
        <v>8864.0719399999998</v>
      </c>
      <c r="Q160" s="77"/>
      <c r="R160" s="77"/>
      <c r="S160" s="77"/>
      <c r="T160" s="77"/>
      <c r="U160" s="77"/>
      <c r="V160" s="87"/>
      <c r="W160" s="87"/>
      <c r="X160" s="87"/>
      <c r="Y160" s="77"/>
      <c r="Z160" s="88"/>
      <c r="AA160" s="35"/>
      <c r="AB160" s="35"/>
    </row>
    <row r="161" spans="1:28" x14ac:dyDescent="0.25">
      <c r="A161" s="68" t="str">
        <f t="shared" si="9"/>
        <v>486284</v>
      </c>
      <c r="B161" s="10">
        <f t="shared" si="10"/>
        <v>502.00301000000002</v>
      </c>
      <c r="C161" s="77" t="s">
        <v>4849</v>
      </c>
      <c r="D161" s="191" t="str">
        <f t="shared" si="8"/>
        <v>StrongLumio All in One unit 24V 50W (stmívání)</v>
      </c>
      <c r="E161" s="77" t="s">
        <v>1251</v>
      </c>
      <c r="F161" s="77" t="s">
        <v>1252</v>
      </c>
      <c r="G161" s="77" t="s">
        <v>1254</v>
      </c>
      <c r="H161" s="77" t="s">
        <v>1253</v>
      </c>
      <c r="I161" s="77" t="s">
        <v>889</v>
      </c>
      <c r="J161" s="90">
        <v>1</v>
      </c>
      <c r="K161" s="91">
        <v>1</v>
      </c>
      <c r="L161" s="77" t="s">
        <v>6566</v>
      </c>
      <c r="M161" s="78">
        <v>502.00301000000002</v>
      </c>
      <c r="N161" s="79">
        <v>22.35596</v>
      </c>
      <c r="O161" s="79">
        <v>94.923019999999994</v>
      </c>
      <c r="P161" s="79">
        <v>8149.39948</v>
      </c>
      <c r="Q161" s="77"/>
      <c r="R161" s="77"/>
      <c r="S161" s="77"/>
      <c r="T161" s="77"/>
      <c r="U161" s="77"/>
      <c r="V161" s="87"/>
      <c r="W161" s="87"/>
      <c r="X161" s="87"/>
      <c r="Y161" s="77"/>
      <c r="Z161" s="88"/>
      <c r="AA161" s="35"/>
      <c r="AB161" s="35"/>
    </row>
    <row r="162" spans="1:28" x14ac:dyDescent="0.25">
      <c r="A162" s="68" t="str">
        <f t="shared" si="9"/>
        <v>405195</v>
      </c>
      <c r="B162" s="10">
        <f t="shared" si="10"/>
        <v>536.36310000000003</v>
      </c>
      <c r="C162" s="77" t="s">
        <v>4850</v>
      </c>
      <c r="D162" s="191" t="str">
        <f t="shared" si="8"/>
        <v>StrongLumio bezdotykový senzor do profilu CCT, 12-24V 8A</v>
      </c>
      <c r="E162" s="77" t="s">
        <v>1255</v>
      </c>
      <c r="F162" s="77" t="s">
        <v>1255</v>
      </c>
      <c r="G162" s="77" t="s">
        <v>1257</v>
      </c>
      <c r="H162" s="77" t="s">
        <v>1256</v>
      </c>
      <c r="I162" s="77" t="s">
        <v>795</v>
      </c>
      <c r="J162" s="90">
        <v>1</v>
      </c>
      <c r="K162" s="91">
        <v>1</v>
      </c>
      <c r="L162" s="77" t="s">
        <v>227</v>
      </c>
      <c r="M162" s="78">
        <v>536.36310000000003</v>
      </c>
      <c r="N162" s="79">
        <v>23.95439</v>
      </c>
      <c r="O162" s="79">
        <v>68.478099999999998</v>
      </c>
      <c r="P162" s="79">
        <v>8307.1329700000006</v>
      </c>
      <c r="Q162" s="77"/>
      <c r="R162" s="77"/>
      <c r="S162" s="77"/>
      <c r="T162" s="77"/>
      <c r="U162" s="77"/>
      <c r="V162" s="87"/>
      <c r="W162" s="87"/>
      <c r="X162" s="87"/>
      <c r="Y162" s="77"/>
      <c r="Z162" s="88"/>
      <c r="AA162" s="35"/>
      <c r="AB162" s="35"/>
    </row>
    <row r="163" spans="1:28" x14ac:dyDescent="0.25">
      <c r="A163" s="68" t="str">
        <f t="shared" si="9"/>
        <v>374370</v>
      </c>
      <c r="B163" s="10">
        <f t="shared" si="10"/>
        <v>359.09055000000001</v>
      </c>
      <c r="C163" s="77" t="s">
        <v>4851</v>
      </c>
      <c r="D163" s="191" t="str">
        <f t="shared" si="8"/>
        <v>StrongLumio bezdotykový vypínač plast, 12-24V, 4A konektory Mini</v>
      </c>
      <c r="E163" s="77" t="s">
        <v>1258</v>
      </c>
      <c r="F163" s="77" t="s">
        <v>1258</v>
      </c>
      <c r="G163" s="77" t="s">
        <v>1260</v>
      </c>
      <c r="H163" s="77" t="s">
        <v>1259</v>
      </c>
      <c r="I163" s="77" t="s">
        <v>795</v>
      </c>
      <c r="J163" s="90">
        <v>1</v>
      </c>
      <c r="K163" s="91">
        <v>1</v>
      </c>
      <c r="L163" s="77" t="s">
        <v>227</v>
      </c>
      <c r="M163" s="78">
        <v>359.09055000000001</v>
      </c>
      <c r="N163" s="79">
        <v>16.037240000000001</v>
      </c>
      <c r="O163" s="79">
        <v>45.669359999999998</v>
      </c>
      <c r="P163" s="79">
        <v>5561.5550999999996</v>
      </c>
      <c r="Q163" s="77"/>
      <c r="R163" s="77"/>
      <c r="S163" s="77"/>
      <c r="T163" s="77"/>
      <c r="U163" s="77"/>
      <c r="V163" s="87"/>
      <c r="W163" s="87"/>
      <c r="X163" s="87"/>
      <c r="Y163" s="77"/>
      <c r="Z163" s="88"/>
      <c r="AA163" s="35"/>
      <c r="AB163" s="35"/>
    </row>
    <row r="164" spans="1:28" x14ac:dyDescent="0.25">
      <c r="A164" s="68" t="str">
        <f t="shared" si="9"/>
        <v>405917</v>
      </c>
      <c r="B164" s="10">
        <f t="shared" si="10"/>
        <v>300.62130000000002</v>
      </c>
      <c r="C164" s="77" t="s">
        <v>4852</v>
      </c>
      <c r="D164" s="191" t="str">
        <f t="shared" si="8"/>
        <v>StrongLumio bezdotykový vypínač/stmívač alu, 12/24V 48/96W 4A Mini, bílá</v>
      </c>
      <c r="E164" s="77" t="s">
        <v>1261</v>
      </c>
      <c r="F164" s="77" t="s">
        <v>1262</v>
      </c>
      <c r="G164" s="77" t="s">
        <v>1264</v>
      </c>
      <c r="H164" s="77" t="s">
        <v>1263</v>
      </c>
      <c r="I164" s="77" t="s">
        <v>795</v>
      </c>
      <c r="J164" s="90">
        <v>1</v>
      </c>
      <c r="K164" s="91">
        <v>1</v>
      </c>
      <c r="L164" s="77" t="s">
        <v>227</v>
      </c>
      <c r="M164" s="78">
        <v>300.62130000000002</v>
      </c>
      <c r="N164" s="79">
        <v>13.728590000000001</v>
      </c>
      <c r="O164" s="79">
        <v>44.372199999999999</v>
      </c>
      <c r="P164" s="79">
        <v>5561.5550999999996</v>
      </c>
      <c r="Q164" s="77"/>
      <c r="R164" s="77"/>
      <c r="S164" s="77"/>
      <c r="T164" s="77"/>
      <c r="U164" s="77"/>
      <c r="V164" s="87"/>
      <c r="W164" s="87"/>
      <c r="X164" s="87"/>
      <c r="Y164" s="77"/>
      <c r="Z164" s="88"/>
      <c r="AA164" s="35"/>
      <c r="AB164" s="35"/>
    </row>
    <row r="165" spans="1:28" x14ac:dyDescent="0.25">
      <c r="A165" s="68" t="str">
        <f t="shared" si="9"/>
        <v>405918</v>
      </c>
      <c r="B165" s="10">
        <f t="shared" si="10"/>
        <v>300.62130000000002</v>
      </c>
      <c r="C165" s="77" t="s">
        <v>4853</v>
      </c>
      <c r="D165" s="191" t="str">
        <f t="shared" si="8"/>
        <v>StrongLumio bezdotykový vypínač/stmívač alu, 12/24V 48/96W 4A Mini, černá</v>
      </c>
      <c r="E165" s="77" t="s">
        <v>1265</v>
      </c>
      <c r="F165" s="77" t="s">
        <v>1266</v>
      </c>
      <c r="G165" s="77" t="s">
        <v>1268</v>
      </c>
      <c r="H165" s="77" t="s">
        <v>1267</v>
      </c>
      <c r="I165" s="77" t="s">
        <v>795</v>
      </c>
      <c r="J165" s="90">
        <v>1</v>
      </c>
      <c r="K165" s="91">
        <v>1</v>
      </c>
      <c r="L165" s="77" t="s">
        <v>227</v>
      </c>
      <c r="M165" s="78">
        <v>300.62130000000002</v>
      </c>
      <c r="N165" s="79">
        <v>13.728590000000001</v>
      </c>
      <c r="O165" s="79">
        <v>42.59863</v>
      </c>
      <c r="P165" s="79">
        <v>5561.5550999999996</v>
      </c>
      <c r="Q165" s="77"/>
      <c r="R165" s="77"/>
      <c r="S165" s="77"/>
      <c r="T165" s="77"/>
      <c r="U165" s="77"/>
      <c r="V165" s="87"/>
      <c r="W165" s="87"/>
      <c r="X165" s="87"/>
      <c r="Y165" s="77"/>
      <c r="Z165" s="88"/>
      <c r="AA165" s="35"/>
      <c r="AB165" s="35"/>
    </row>
    <row r="166" spans="1:28" x14ac:dyDescent="0.25">
      <c r="A166" s="68" t="str">
        <f t="shared" si="9"/>
        <v>405202</v>
      </c>
      <c r="B166" s="10">
        <f t="shared" si="10"/>
        <v>359.09055000000001</v>
      </c>
      <c r="C166" s="77" t="s">
        <v>4854</v>
      </c>
      <c r="D166" s="191" t="str">
        <f t="shared" si="8"/>
        <v>StrongLumio bezdotykový vypínač/stmívač alu, 12/24V 4A konektory Mini, stříbrná</v>
      </c>
      <c r="E166" s="77" t="s">
        <v>1269</v>
      </c>
      <c r="F166" s="77" t="s">
        <v>1270</v>
      </c>
      <c r="G166" s="77" t="s">
        <v>1272</v>
      </c>
      <c r="H166" s="77" t="s">
        <v>1271</v>
      </c>
      <c r="I166" s="77" t="s">
        <v>795</v>
      </c>
      <c r="J166" s="90">
        <v>1</v>
      </c>
      <c r="K166" s="91">
        <v>1</v>
      </c>
      <c r="L166" s="77" t="s">
        <v>227</v>
      </c>
      <c r="M166" s="78">
        <v>359.09055000000001</v>
      </c>
      <c r="N166" s="79">
        <v>16.037240000000001</v>
      </c>
      <c r="O166" s="79">
        <v>52.869599999999998</v>
      </c>
      <c r="P166" s="79">
        <v>5561.5550999999996</v>
      </c>
      <c r="Q166" s="77"/>
      <c r="R166" s="77"/>
      <c r="S166" s="77"/>
      <c r="T166" s="77"/>
      <c r="U166" s="77"/>
      <c r="V166" s="87"/>
      <c r="W166" s="87"/>
      <c r="X166" s="87"/>
      <c r="Y166" s="77"/>
      <c r="Z166" s="88"/>
      <c r="AA166" s="35"/>
      <c r="AB166" s="35"/>
    </row>
    <row r="167" spans="1:28" x14ac:dyDescent="0.25">
      <c r="A167" s="68" t="str">
        <f t="shared" si="9"/>
        <v>546612</v>
      </c>
      <c r="B167" s="10">
        <f t="shared" si="10"/>
        <v>246.26238000000001</v>
      </c>
      <c r="C167" s="77" t="s">
        <v>4855</v>
      </c>
      <c r="D167" s="191" t="str">
        <f t="shared" si="8"/>
        <v>StrongLumio bezdrátový nabíjecí dotykový vypínač/stmívač</v>
      </c>
      <c r="E167" s="77" t="s">
        <v>1273</v>
      </c>
      <c r="F167" s="77" t="s">
        <v>1274</v>
      </c>
      <c r="G167" s="77" t="s">
        <v>6419</v>
      </c>
      <c r="H167" s="77" t="s">
        <v>1275</v>
      </c>
      <c r="I167" s="77" t="s">
        <v>795</v>
      </c>
      <c r="J167" s="90">
        <v>1</v>
      </c>
      <c r="K167" s="91">
        <v>1</v>
      </c>
      <c r="L167" s="77" t="s">
        <v>227</v>
      </c>
      <c r="M167" s="78">
        <v>246.26238000000001</v>
      </c>
      <c r="N167" s="79">
        <v>11.29247</v>
      </c>
      <c r="O167" s="79">
        <v>36.70467</v>
      </c>
      <c r="P167" s="79">
        <v>3694.145</v>
      </c>
      <c r="Q167" s="77"/>
      <c r="R167" s="77"/>
      <c r="S167" s="77"/>
      <c r="T167" s="77"/>
      <c r="U167" s="77"/>
      <c r="V167" s="87"/>
      <c r="W167" s="87"/>
      <c r="X167" s="87"/>
      <c r="Y167" s="77"/>
      <c r="Z167" s="88"/>
      <c r="AA167" s="35"/>
      <c r="AB167" s="35"/>
    </row>
    <row r="168" spans="1:28" x14ac:dyDescent="0.25">
      <c r="A168" s="68" t="str">
        <f t="shared" si="9"/>
        <v>546613</v>
      </c>
      <c r="B168" s="10">
        <f t="shared" si="10"/>
        <v>263.55840000000001</v>
      </c>
      <c r="C168" s="77" t="s">
        <v>4856</v>
      </c>
      <c r="D168" s="191" t="str">
        <f t="shared" si="8"/>
        <v>StrongLumio bezdrátový nabíjecí dveřní senzor</v>
      </c>
      <c r="E168" s="77" t="s">
        <v>1276</v>
      </c>
      <c r="F168" s="77" t="s">
        <v>1277</v>
      </c>
      <c r="G168" s="77" t="s">
        <v>6420</v>
      </c>
      <c r="H168" s="77" t="s">
        <v>1278</v>
      </c>
      <c r="I168" s="77" t="s">
        <v>795</v>
      </c>
      <c r="J168" s="90">
        <v>1</v>
      </c>
      <c r="K168" s="91">
        <v>1</v>
      </c>
      <c r="L168" s="77" t="s">
        <v>227</v>
      </c>
      <c r="M168" s="78">
        <v>263.55840000000001</v>
      </c>
      <c r="N168" s="79">
        <v>12.085570000000001</v>
      </c>
      <c r="O168" s="79">
        <v>39.28257</v>
      </c>
      <c r="P168" s="79">
        <v>3953.6</v>
      </c>
      <c r="Q168" s="77"/>
      <c r="R168" s="77"/>
      <c r="S168" s="77"/>
      <c r="T168" s="77"/>
      <c r="U168" s="77"/>
      <c r="V168" s="87"/>
      <c r="W168" s="87"/>
      <c r="X168" s="87"/>
      <c r="Y168" s="77"/>
      <c r="Z168" s="88"/>
      <c r="AA168" s="35"/>
      <c r="AB168" s="35"/>
    </row>
    <row r="169" spans="1:28" x14ac:dyDescent="0.25">
      <c r="A169" s="68" t="str">
        <f t="shared" si="9"/>
        <v>535063</v>
      </c>
      <c r="B169" s="10">
        <f t="shared" si="10"/>
        <v>530.71199999999999</v>
      </c>
      <c r="C169" s="77" t="s">
        <v>4857</v>
      </c>
      <c r="D169" s="191" t="str">
        <f t="shared" si="8"/>
        <v>StrongLumio bezdrátový samonapájecí dveřní vypínač bílý</v>
      </c>
      <c r="E169" s="77" t="s">
        <v>1279</v>
      </c>
      <c r="F169" s="77" t="s">
        <v>1280</v>
      </c>
      <c r="G169" s="77" t="s">
        <v>1281</v>
      </c>
      <c r="H169" s="77" t="s">
        <v>6421</v>
      </c>
      <c r="I169" s="77" t="s">
        <v>795</v>
      </c>
      <c r="J169" s="90">
        <v>280</v>
      </c>
      <c r="K169" s="91">
        <v>1</v>
      </c>
      <c r="L169" s="77" t="s">
        <v>227</v>
      </c>
      <c r="M169" s="78">
        <v>530.71199999999999</v>
      </c>
      <c r="N169" s="79">
        <v>20.258140000000001</v>
      </c>
      <c r="O169" s="79">
        <v>52.30733</v>
      </c>
      <c r="P169" s="79">
        <v>6564.1558400000004</v>
      </c>
      <c r="Q169" s="77"/>
      <c r="R169" s="77"/>
      <c r="S169" s="77"/>
      <c r="T169" s="77"/>
      <c r="U169" s="77"/>
      <c r="V169" s="87"/>
      <c r="W169" s="87"/>
      <c r="X169" s="87"/>
      <c r="Y169" s="77"/>
      <c r="Z169" s="88"/>
      <c r="AA169" s="35"/>
      <c r="AB169" s="35"/>
    </row>
    <row r="170" spans="1:28" x14ac:dyDescent="0.25">
      <c r="A170" s="68" t="str">
        <f t="shared" si="9"/>
        <v>535064</v>
      </c>
      <c r="B170" s="10">
        <f t="shared" si="10"/>
        <v>530.71199999999999</v>
      </c>
      <c r="C170" s="77" t="s">
        <v>4858</v>
      </c>
      <c r="D170" s="191" t="str">
        <f t="shared" si="8"/>
        <v>StrongLumio bezdrátový samonapájecí dveřní vypínač černý</v>
      </c>
      <c r="E170" s="77" t="s">
        <v>1282</v>
      </c>
      <c r="F170" s="77" t="s">
        <v>1283</v>
      </c>
      <c r="G170" s="77" t="s">
        <v>1284</v>
      </c>
      <c r="H170" s="77" t="s">
        <v>6422</v>
      </c>
      <c r="I170" s="77" t="s">
        <v>795</v>
      </c>
      <c r="J170" s="90">
        <v>280</v>
      </c>
      <c r="K170" s="91">
        <v>1</v>
      </c>
      <c r="L170" s="77" t="s">
        <v>227</v>
      </c>
      <c r="M170" s="78">
        <v>530.71199999999999</v>
      </c>
      <c r="N170" s="79">
        <v>20.258140000000001</v>
      </c>
      <c r="O170" s="79">
        <v>52.810369999999999</v>
      </c>
      <c r="P170" s="79">
        <v>6564.1558400000004</v>
      </c>
      <c r="Q170" s="77"/>
      <c r="R170" s="77"/>
      <c r="S170" s="77"/>
      <c r="T170" s="77"/>
      <c r="U170" s="77"/>
      <c r="V170" s="87"/>
      <c r="W170" s="87"/>
      <c r="X170" s="87"/>
      <c r="Y170" s="77"/>
      <c r="Z170" s="88"/>
      <c r="AA170" s="35"/>
      <c r="AB170" s="35"/>
    </row>
    <row r="171" spans="1:28" x14ac:dyDescent="0.25">
      <c r="A171" s="68" t="str">
        <f t="shared" si="9"/>
        <v>467125</v>
      </c>
      <c r="B171" s="10">
        <f t="shared" si="10"/>
        <v>647.46864000000005</v>
      </c>
      <c r="C171" s="77" t="s">
        <v>4859</v>
      </c>
      <c r="D171" s="191" t="str">
        <f t="shared" si="8"/>
        <v>StrongLumio bezdrátový vypínač samonapájecí - 1 tlačítko bílá</v>
      </c>
      <c r="E171" s="77" t="s">
        <v>1285</v>
      </c>
      <c r="F171" s="77" t="s">
        <v>1286</v>
      </c>
      <c r="G171" s="77" t="s">
        <v>1288</v>
      </c>
      <c r="H171" s="77" t="s">
        <v>1287</v>
      </c>
      <c r="I171" s="77" t="s">
        <v>795</v>
      </c>
      <c r="J171" s="90">
        <v>1</v>
      </c>
      <c r="K171" s="91">
        <v>1</v>
      </c>
      <c r="L171" s="77" t="s">
        <v>227</v>
      </c>
      <c r="M171" s="78">
        <v>647.46864000000005</v>
      </c>
      <c r="N171" s="79">
        <v>24.7149</v>
      </c>
      <c r="O171" s="79">
        <v>57.653469999999999</v>
      </c>
      <c r="P171" s="79">
        <v>8008.2701399999996</v>
      </c>
      <c r="Q171" s="77"/>
      <c r="R171" s="77"/>
      <c r="S171" s="77"/>
      <c r="T171" s="77"/>
      <c r="U171" s="77"/>
      <c r="V171" s="87"/>
      <c r="W171" s="87"/>
      <c r="X171" s="87"/>
      <c r="Y171" s="77"/>
      <c r="Z171" s="88"/>
      <c r="AA171" s="35"/>
      <c r="AB171" s="35"/>
    </row>
    <row r="172" spans="1:28" x14ac:dyDescent="0.25">
      <c r="A172" s="68" t="str">
        <f t="shared" si="9"/>
        <v>491230</v>
      </c>
      <c r="B172" s="10">
        <f t="shared" si="10"/>
        <v>742.99680000000001</v>
      </c>
      <c r="C172" s="77" t="s">
        <v>4860</v>
      </c>
      <c r="D172" s="191" t="str">
        <f t="shared" si="8"/>
        <v>StrongLumio bezdrátový vypínač samonapájecí - 1 tlačítko černá</v>
      </c>
      <c r="E172" s="77" t="s">
        <v>1289</v>
      </c>
      <c r="F172" s="77" t="s">
        <v>1290</v>
      </c>
      <c r="G172" s="77" t="s">
        <v>1292</v>
      </c>
      <c r="H172" s="77" t="s">
        <v>1291</v>
      </c>
      <c r="I172" s="77" t="s">
        <v>795</v>
      </c>
      <c r="J172" s="90">
        <v>1</v>
      </c>
      <c r="K172" s="91">
        <v>1</v>
      </c>
      <c r="L172" s="77" t="s">
        <v>276</v>
      </c>
      <c r="M172" s="78">
        <v>742.99680000000001</v>
      </c>
      <c r="N172" s="79">
        <v>28.36138</v>
      </c>
      <c r="O172" s="79">
        <v>70.610929999999996</v>
      </c>
      <c r="P172" s="79">
        <v>9189.8181800000002</v>
      </c>
      <c r="Q172" s="77"/>
      <c r="R172" s="77"/>
      <c r="S172" s="77"/>
      <c r="T172" s="77"/>
      <c r="U172" s="77"/>
      <c r="V172" s="87"/>
      <c r="W172" s="87"/>
      <c r="X172" s="87"/>
      <c r="Y172" s="77"/>
      <c r="Z172" s="88"/>
      <c r="AA172" s="35"/>
      <c r="AB172" s="35"/>
    </row>
    <row r="173" spans="1:28" x14ac:dyDescent="0.25">
      <c r="A173" s="68" t="str">
        <f t="shared" si="9"/>
        <v>467129</v>
      </c>
      <c r="B173" s="10">
        <f t="shared" si="10"/>
        <v>742.99680000000001</v>
      </c>
      <c r="C173" s="77" t="s">
        <v>4861</v>
      </c>
      <c r="D173" s="191" t="str">
        <f t="shared" si="8"/>
        <v>StrongLumio bezdrátový vypínač samonapájecí - 1 tlačítko stříbrná</v>
      </c>
      <c r="E173" s="77" t="s">
        <v>1293</v>
      </c>
      <c r="F173" s="77" t="s">
        <v>1294</v>
      </c>
      <c r="G173" s="77" t="s">
        <v>1296</v>
      </c>
      <c r="H173" s="77" t="s">
        <v>1295</v>
      </c>
      <c r="I173" s="77" t="s">
        <v>795</v>
      </c>
      <c r="J173" s="90">
        <v>1</v>
      </c>
      <c r="K173" s="91">
        <v>1</v>
      </c>
      <c r="L173" s="77" t="s">
        <v>227</v>
      </c>
      <c r="M173" s="78">
        <v>742.99680000000001</v>
      </c>
      <c r="N173" s="79">
        <v>28.36138</v>
      </c>
      <c r="O173" s="79">
        <v>66.17362</v>
      </c>
      <c r="P173" s="79">
        <v>9189.8181800000002</v>
      </c>
      <c r="Q173" s="77"/>
      <c r="R173" s="77"/>
      <c r="S173" s="77"/>
      <c r="T173" s="77"/>
      <c r="U173" s="77"/>
      <c r="V173" s="87"/>
      <c r="W173" s="87"/>
      <c r="X173" s="87"/>
      <c r="Y173" s="77"/>
      <c r="Z173" s="88"/>
      <c r="AA173" s="35"/>
      <c r="AB173" s="35"/>
    </row>
    <row r="174" spans="1:28" x14ac:dyDescent="0.25">
      <c r="A174" s="68" t="str">
        <f t="shared" si="9"/>
        <v>467128</v>
      </c>
      <c r="B174" s="10">
        <f t="shared" si="10"/>
        <v>742.99680000000001</v>
      </c>
      <c r="C174" s="77" t="s">
        <v>4862</v>
      </c>
      <c r="D174" s="191" t="str">
        <f t="shared" si="8"/>
        <v>StrongLumio bezdrátový vypínač samonapájecí - 1 tlačítko zlatá</v>
      </c>
      <c r="E174" s="77" t="s">
        <v>1297</v>
      </c>
      <c r="F174" s="77" t="s">
        <v>1298</v>
      </c>
      <c r="G174" s="77" t="s">
        <v>1300</v>
      </c>
      <c r="H174" s="77" t="s">
        <v>1299</v>
      </c>
      <c r="I174" s="77" t="s">
        <v>795</v>
      </c>
      <c r="J174" s="90">
        <v>1</v>
      </c>
      <c r="K174" s="91">
        <v>1</v>
      </c>
      <c r="L174" s="77" t="s">
        <v>227</v>
      </c>
      <c r="M174" s="78">
        <v>742.99680000000001</v>
      </c>
      <c r="N174" s="79">
        <v>28.36138</v>
      </c>
      <c r="O174" s="79">
        <v>66.494470000000007</v>
      </c>
      <c r="P174" s="79">
        <v>9189.8181800000002</v>
      </c>
      <c r="Q174" s="77"/>
      <c r="R174" s="77"/>
      <c r="S174" s="77"/>
      <c r="T174" s="77"/>
      <c r="U174" s="77"/>
      <c r="V174" s="87"/>
      <c r="W174" s="87"/>
      <c r="X174" s="87"/>
      <c r="Y174" s="77"/>
      <c r="Z174" s="88"/>
      <c r="AA174" s="35"/>
      <c r="AB174" s="35"/>
    </row>
    <row r="175" spans="1:28" x14ac:dyDescent="0.25">
      <c r="A175" s="68" t="str">
        <f t="shared" si="9"/>
        <v>467126</v>
      </c>
      <c r="B175" s="10">
        <f t="shared" si="10"/>
        <v>774.83951999999999</v>
      </c>
      <c r="C175" s="77" t="s">
        <v>4863</v>
      </c>
      <c r="D175" s="191" t="str">
        <f t="shared" si="8"/>
        <v>StrongLumio bezdrátový vypínač samonapájecí - 2 tlačítka bílá</v>
      </c>
      <c r="E175" s="77" t="s">
        <v>1301</v>
      </c>
      <c r="F175" s="77" t="s">
        <v>1302</v>
      </c>
      <c r="G175" s="77" t="s">
        <v>1304</v>
      </c>
      <c r="H175" s="77" t="s">
        <v>1303</v>
      </c>
      <c r="I175" s="77" t="s">
        <v>795</v>
      </c>
      <c r="J175" s="90">
        <v>1</v>
      </c>
      <c r="K175" s="91">
        <v>1</v>
      </c>
      <c r="L175" s="77" t="s">
        <v>227</v>
      </c>
      <c r="M175" s="78">
        <v>774.83951999999999</v>
      </c>
      <c r="N175" s="79">
        <v>29.576840000000001</v>
      </c>
      <c r="O175" s="79">
        <v>70.131960000000007</v>
      </c>
      <c r="P175" s="79">
        <v>9583.6675200000009</v>
      </c>
      <c r="Q175" s="77"/>
      <c r="R175" s="77"/>
      <c r="S175" s="77"/>
      <c r="T175" s="77"/>
      <c r="U175" s="77"/>
      <c r="V175" s="87"/>
      <c r="W175" s="87"/>
      <c r="X175" s="87"/>
      <c r="Y175" s="77"/>
      <c r="Z175" s="88"/>
      <c r="AA175" s="35"/>
      <c r="AB175" s="35"/>
    </row>
    <row r="176" spans="1:28" x14ac:dyDescent="0.25">
      <c r="A176" s="68" t="str">
        <f t="shared" si="9"/>
        <v>491231</v>
      </c>
      <c r="B176" s="10">
        <f t="shared" si="10"/>
        <v>870.36767999999995</v>
      </c>
      <c r="C176" s="77" t="s">
        <v>4864</v>
      </c>
      <c r="D176" s="191" t="str">
        <f t="shared" si="8"/>
        <v>StrongLumio bezdrátový vypínač samonapájecí - 2 tlačítka černá</v>
      </c>
      <c r="E176" s="77" t="s">
        <v>1305</v>
      </c>
      <c r="F176" s="77" t="s">
        <v>1306</v>
      </c>
      <c r="G176" s="77" t="s">
        <v>1308</v>
      </c>
      <c r="H176" s="77" t="s">
        <v>1307</v>
      </c>
      <c r="I176" s="77" t="s">
        <v>795</v>
      </c>
      <c r="J176" s="90">
        <v>1</v>
      </c>
      <c r="K176" s="91">
        <v>1</v>
      </c>
      <c r="L176" s="77" t="s">
        <v>227</v>
      </c>
      <c r="M176" s="78">
        <v>870.36767999999995</v>
      </c>
      <c r="N176" s="79">
        <v>33.223320000000001</v>
      </c>
      <c r="O176" s="79">
        <v>77.678740000000005</v>
      </c>
      <c r="P176" s="79">
        <v>10765.21558</v>
      </c>
      <c r="Q176" s="77"/>
      <c r="R176" s="77"/>
      <c r="S176" s="77"/>
      <c r="T176" s="77"/>
      <c r="U176" s="77"/>
      <c r="V176" s="87"/>
      <c r="W176" s="87"/>
      <c r="X176" s="87"/>
      <c r="Y176" s="77"/>
      <c r="Z176" s="88"/>
      <c r="AA176" s="35"/>
      <c r="AB176" s="35"/>
    </row>
    <row r="177" spans="1:28" x14ac:dyDescent="0.25">
      <c r="A177" s="68" t="str">
        <f t="shared" si="9"/>
        <v>467131</v>
      </c>
      <c r="B177" s="10">
        <f t="shared" si="10"/>
        <v>870.36767999999995</v>
      </c>
      <c r="C177" s="77" t="s">
        <v>4865</v>
      </c>
      <c r="D177" s="191" t="str">
        <f t="shared" si="8"/>
        <v>StrongLumio bezdrátový vypínač samonapájecí - 2 tlačítka stříbrná</v>
      </c>
      <c r="E177" s="77" t="s">
        <v>1309</v>
      </c>
      <c r="F177" s="77" t="s">
        <v>1310</v>
      </c>
      <c r="G177" s="77" t="s">
        <v>1312</v>
      </c>
      <c r="H177" s="77" t="s">
        <v>1311</v>
      </c>
      <c r="I177" s="77" t="s">
        <v>795</v>
      </c>
      <c r="J177" s="90">
        <v>1</v>
      </c>
      <c r="K177" s="91">
        <v>1</v>
      </c>
      <c r="L177" s="77" t="s">
        <v>227</v>
      </c>
      <c r="M177" s="78">
        <v>870.36767999999995</v>
      </c>
      <c r="N177" s="79">
        <v>33.223320000000001</v>
      </c>
      <c r="O177" s="79">
        <v>81.453699999999998</v>
      </c>
      <c r="P177" s="79">
        <v>10765.21558</v>
      </c>
      <c r="Q177" s="77"/>
      <c r="R177" s="77"/>
      <c r="S177" s="77"/>
      <c r="T177" s="77"/>
      <c r="U177" s="77"/>
      <c r="V177" s="87"/>
      <c r="W177" s="87"/>
      <c r="X177" s="87"/>
      <c r="Y177" s="77"/>
      <c r="Z177" s="88"/>
      <c r="AA177" s="35"/>
      <c r="AB177" s="35"/>
    </row>
    <row r="178" spans="1:28" x14ac:dyDescent="0.25">
      <c r="A178" s="68" t="str">
        <f t="shared" si="9"/>
        <v>467130</v>
      </c>
      <c r="B178" s="10">
        <f t="shared" si="10"/>
        <v>870.36767999999995</v>
      </c>
      <c r="C178" s="77" t="s">
        <v>4866</v>
      </c>
      <c r="D178" s="191" t="str">
        <f t="shared" si="8"/>
        <v>StrongLumio bezdrátový vypínač samonapájecí - 2 tlačítka zlatá</v>
      </c>
      <c r="E178" s="77" t="s">
        <v>1313</v>
      </c>
      <c r="F178" s="77" t="s">
        <v>1314</v>
      </c>
      <c r="G178" s="77" t="s">
        <v>1316</v>
      </c>
      <c r="H178" s="77" t="s">
        <v>1315</v>
      </c>
      <c r="I178" s="77" t="s">
        <v>795</v>
      </c>
      <c r="J178" s="90">
        <v>1</v>
      </c>
      <c r="K178" s="91">
        <v>1</v>
      </c>
      <c r="L178" s="77" t="s">
        <v>227</v>
      </c>
      <c r="M178" s="78">
        <v>870.36767999999995</v>
      </c>
      <c r="N178" s="79">
        <v>33.223320000000001</v>
      </c>
      <c r="O178" s="79">
        <v>97.072270000000003</v>
      </c>
      <c r="P178" s="79">
        <v>10765.21558</v>
      </c>
      <c r="Q178" s="77"/>
      <c r="R178" s="77"/>
      <c r="S178" s="77"/>
      <c r="T178" s="77"/>
      <c r="U178" s="77"/>
      <c r="V178" s="87"/>
      <c r="W178" s="87"/>
      <c r="X178" s="87"/>
      <c r="Y178" s="77"/>
      <c r="Z178" s="88"/>
      <c r="AA178" s="35"/>
      <c r="AB178" s="35"/>
    </row>
    <row r="179" spans="1:28" x14ac:dyDescent="0.25">
      <c r="A179" s="68" t="str">
        <f t="shared" si="9"/>
        <v>467127</v>
      </c>
      <c r="B179" s="10">
        <f t="shared" si="10"/>
        <v>902.21040000000005</v>
      </c>
      <c r="C179" s="77" t="s">
        <v>4867</v>
      </c>
      <c r="D179" s="191" t="str">
        <f t="shared" si="8"/>
        <v>StrongLumio bezdrátový vypínač samonapájecí - 3 tlačítka bílá</v>
      </c>
      <c r="E179" s="77" t="s">
        <v>1317</v>
      </c>
      <c r="F179" s="77" t="s">
        <v>1318</v>
      </c>
      <c r="G179" s="77" t="s">
        <v>1320</v>
      </c>
      <c r="H179" s="77" t="s">
        <v>1319</v>
      </c>
      <c r="I179" s="77" t="s">
        <v>795</v>
      </c>
      <c r="J179" s="90">
        <v>1</v>
      </c>
      <c r="K179" s="91">
        <v>1</v>
      </c>
      <c r="L179" s="77" t="s">
        <v>227</v>
      </c>
      <c r="M179" s="78">
        <v>902.21040000000005</v>
      </c>
      <c r="N179" s="79">
        <v>34.438789999999997</v>
      </c>
      <c r="O179" s="79">
        <v>81.118819999999999</v>
      </c>
      <c r="P179" s="79">
        <v>11159.06493</v>
      </c>
      <c r="Q179" s="77"/>
      <c r="R179" s="77"/>
      <c r="S179" s="77"/>
      <c r="T179" s="77"/>
      <c r="U179" s="77"/>
      <c r="V179" s="87"/>
      <c r="W179" s="87"/>
      <c r="X179" s="87"/>
      <c r="Y179" s="77"/>
      <c r="Z179" s="88"/>
      <c r="AA179" s="35"/>
      <c r="AB179" s="35"/>
    </row>
    <row r="180" spans="1:28" x14ac:dyDescent="0.25">
      <c r="A180" s="68" t="str">
        <f t="shared" si="9"/>
        <v>491232</v>
      </c>
      <c r="B180" s="10">
        <f t="shared" si="10"/>
        <v>997.73856000000001</v>
      </c>
      <c r="C180" s="77" t="s">
        <v>4868</v>
      </c>
      <c r="D180" s="191" t="str">
        <f t="shared" si="8"/>
        <v>StrongLumio bezdrátový vypínač samonapájecí - 3 tlačítka černá</v>
      </c>
      <c r="E180" s="77" t="s">
        <v>1321</v>
      </c>
      <c r="F180" s="77" t="s">
        <v>1322</v>
      </c>
      <c r="G180" s="77" t="s">
        <v>1324</v>
      </c>
      <c r="H180" s="77" t="s">
        <v>1323</v>
      </c>
      <c r="I180" s="77" t="s">
        <v>795</v>
      </c>
      <c r="J180" s="90">
        <v>1</v>
      </c>
      <c r="K180" s="91">
        <v>1</v>
      </c>
      <c r="L180" s="77" t="s">
        <v>227</v>
      </c>
      <c r="M180" s="78">
        <v>997.73856000000001</v>
      </c>
      <c r="N180" s="79">
        <v>38.085259999999998</v>
      </c>
      <c r="O180" s="79">
        <v>89.279880000000006</v>
      </c>
      <c r="P180" s="79">
        <v>12340.61299</v>
      </c>
      <c r="Q180" s="77"/>
      <c r="R180" s="77"/>
      <c r="S180" s="77"/>
      <c r="T180" s="77"/>
      <c r="U180" s="77"/>
      <c r="V180" s="87"/>
      <c r="W180" s="87"/>
      <c r="X180" s="87"/>
      <c r="Y180" s="77"/>
      <c r="Z180" s="88"/>
      <c r="AA180" s="35"/>
      <c r="AB180" s="35"/>
    </row>
    <row r="181" spans="1:28" x14ac:dyDescent="0.25">
      <c r="A181" s="68" t="str">
        <f t="shared" si="9"/>
        <v>467132</v>
      </c>
      <c r="B181" s="10">
        <f t="shared" si="10"/>
        <v>997.73856000000001</v>
      </c>
      <c r="C181" s="77" t="s">
        <v>4869</v>
      </c>
      <c r="D181" s="191" t="str">
        <f t="shared" si="8"/>
        <v>StrongLumio bezdrátový vypínač samonapájecí - 3 tlačítka stříbrná</v>
      </c>
      <c r="E181" s="77" t="s">
        <v>1325</v>
      </c>
      <c r="F181" s="77" t="s">
        <v>1326</v>
      </c>
      <c r="G181" s="77" t="s">
        <v>1328</v>
      </c>
      <c r="H181" s="77" t="s">
        <v>1327</v>
      </c>
      <c r="I181" s="77" t="s">
        <v>795</v>
      </c>
      <c r="J181" s="90">
        <v>1</v>
      </c>
      <c r="K181" s="91">
        <v>1</v>
      </c>
      <c r="L181" s="77" t="s">
        <v>227</v>
      </c>
      <c r="M181" s="78">
        <v>997.73856000000001</v>
      </c>
      <c r="N181" s="79">
        <v>38.085259999999998</v>
      </c>
      <c r="O181" s="79">
        <v>113.85842</v>
      </c>
      <c r="P181" s="79">
        <v>12340.61299</v>
      </c>
      <c r="Q181" s="77"/>
      <c r="R181" s="77"/>
      <c r="S181" s="77"/>
      <c r="T181" s="77"/>
      <c r="U181" s="77"/>
      <c r="V181" s="87"/>
      <c r="W181" s="87"/>
      <c r="X181" s="87"/>
      <c r="Y181" s="77"/>
      <c r="Z181" s="88"/>
      <c r="AA181" s="35"/>
      <c r="AB181" s="35"/>
    </row>
    <row r="182" spans="1:28" x14ac:dyDescent="0.25">
      <c r="A182" s="68" t="str">
        <f t="shared" si="9"/>
        <v>546642</v>
      </c>
      <c r="B182" s="10">
        <f t="shared" si="10"/>
        <v>471.19968</v>
      </c>
      <c r="C182" s="77" t="s">
        <v>4870</v>
      </c>
      <c r="D182" s="191" t="str">
        <f t="shared" si="8"/>
        <v>StrongLumio bezdrátový vypínač samonapájecí 35mm k zafrézování bílý</v>
      </c>
      <c r="E182" s="77" t="s">
        <v>1329</v>
      </c>
      <c r="F182" s="77" t="s">
        <v>1330</v>
      </c>
      <c r="G182" s="77" t="s">
        <v>1332</v>
      </c>
      <c r="H182" s="77" t="s">
        <v>1331</v>
      </c>
      <c r="I182" s="77" t="s">
        <v>795</v>
      </c>
      <c r="J182" s="90">
        <v>1</v>
      </c>
      <c r="K182" s="91">
        <v>1</v>
      </c>
      <c r="L182" s="77" t="s">
        <v>227</v>
      </c>
      <c r="M182" s="78">
        <v>471.19968</v>
      </c>
      <c r="N182" s="79">
        <v>18.467569999999998</v>
      </c>
      <c r="O182" s="79">
        <v>52.56362</v>
      </c>
      <c r="P182" s="79">
        <v>5644.8</v>
      </c>
      <c r="Q182" s="77"/>
      <c r="R182" s="77"/>
      <c r="S182" s="77"/>
      <c r="T182" s="77"/>
      <c r="U182" s="77"/>
      <c r="V182" s="87"/>
      <c r="W182" s="87"/>
      <c r="X182" s="87"/>
      <c r="Y182" s="77"/>
      <c r="Z182" s="88"/>
      <c r="AA182" s="35"/>
      <c r="AB182" s="35"/>
    </row>
    <row r="183" spans="1:28" x14ac:dyDescent="0.25">
      <c r="A183" s="68" t="str">
        <f t="shared" si="9"/>
        <v>546647</v>
      </c>
      <c r="B183" s="10">
        <f t="shared" si="10"/>
        <v>471.19968</v>
      </c>
      <c r="C183" s="77" t="s">
        <v>4871</v>
      </c>
      <c r="D183" s="191" t="str">
        <f t="shared" si="8"/>
        <v>StrongLumio bezdrátový vypínač samonapájecí 35mm k zafrézování černý</v>
      </c>
      <c r="E183" s="77" t="s">
        <v>1333</v>
      </c>
      <c r="F183" s="77" t="s">
        <v>1334</v>
      </c>
      <c r="G183" s="77" t="s">
        <v>1336</v>
      </c>
      <c r="H183" s="77" t="s">
        <v>1335</v>
      </c>
      <c r="I183" s="77" t="s">
        <v>795</v>
      </c>
      <c r="J183" s="90">
        <v>1</v>
      </c>
      <c r="K183" s="91">
        <v>1</v>
      </c>
      <c r="L183" s="77" t="s">
        <v>227</v>
      </c>
      <c r="M183" s="78">
        <v>471.19968</v>
      </c>
      <c r="N183" s="79">
        <v>18.467569999999998</v>
      </c>
      <c r="O183" s="79">
        <v>52.56362</v>
      </c>
      <c r="P183" s="79">
        <v>5644.8</v>
      </c>
      <c r="Q183" s="77"/>
      <c r="R183" s="77"/>
      <c r="S183" s="77"/>
      <c r="T183" s="77"/>
      <c r="U183" s="77"/>
      <c r="V183" s="87"/>
      <c r="W183" s="87"/>
      <c r="X183" s="87"/>
      <c r="Y183" s="77"/>
      <c r="Z183" s="88"/>
      <c r="AA183" s="35"/>
      <c r="AB183" s="35"/>
    </row>
    <row r="184" spans="1:28" x14ac:dyDescent="0.25">
      <c r="A184" s="68" t="str">
        <f t="shared" si="9"/>
        <v>535065</v>
      </c>
      <c r="B184" s="10">
        <f t="shared" si="10"/>
        <v>530.71199999999999</v>
      </c>
      <c r="C184" s="77" t="s">
        <v>4872</v>
      </c>
      <c r="D184" s="191" t="str">
        <f t="shared" si="8"/>
        <v>StrongLumio bezdrátový vypínač samonapájecí kulatý bílý</v>
      </c>
      <c r="E184" s="77" t="s">
        <v>1337</v>
      </c>
      <c r="F184" s="77" t="s">
        <v>1338</v>
      </c>
      <c r="G184" s="77" t="s">
        <v>1339</v>
      </c>
      <c r="H184" s="77" t="s">
        <v>6423</v>
      </c>
      <c r="I184" s="77" t="s">
        <v>795</v>
      </c>
      <c r="J184" s="90">
        <v>280</v>
      </c>
      <c r="K184" s="91">
        <v>1</v>
      </c>
      <c r="L184" s="77" t="s">
        <v>227</v>
      </c>
      <c r="M184" s="78">
        <v>530.71199999999999</v>
      </c>
      <c r="N184" s="79">
        <v>20.258140000000001</v>
      </c>
      <c r="O184" s="79">
        <v>51.9114</v>
      </c>
      <c r="P184" s="79">
        <v>6564.1558400000004</v>
      </c>
      <c r="Q184" s="77"/>
      <c r="R184" s="77"/>
      <c r="S184" s="77"/>
      <c r="T184" s="77"/>
      <c r="U184" s="77"/>
      <c r="V184" s="87"/>
      <c r="W184" s="87"/>
      <c r="X184" s="87"/>
      <c r="Y184" s="77"/>
      <c r="Z184" s="88"/>
      <c r="AA184" s="35"/>
      <c r="AB184" s="35"/>
    </row>
    <row r="185" spans="1:28" x14ac:dyDescent="0.25">
      <c r="A185" s="68" t="str">
        <f t="shared" si="9"/>
        <v>535066</v>
      </c>
      <c r="B185" s="10">
        <f t="shared" si="10"/>
        <v>530.71199999999999</v>
      </c>
      <c r="C185" s="77" t="s">
        <v>4873</v>
      </c>
      <c r="D185" s="191" t="str">
        <f t="shared" si="8"/>
        <v>StrongLumio bezdrátový vypínač samonapájecí kulatý černý</v>
      </c>
      <c r="E185" s="77" t="s">
        <v>1340</v>
      </c>
      <c r="F185" s="77" t="s">
        <v>1341</v>
      </c>
      <c r="G185" s="77" t="s">
        <v>1342</v>
      </c>
      <c r="H185" s="77" t="s">
        <v>6424</v>
      </c>
      <c r="I185" s="77" t="s">
        <v>795</v>
      </c>
      <c r="J185" s="90">
        <v>280</v>
      </c>
      <c r="K185" s="91">
        <v>1</v>
      </c>
      <c r="L185" s="77" t="s">
        <v>227</v>
      </c>
      <c r="M185" s="78">
        <v>530.71199999999999</v>
      </c>
      <c r="N185" s="79">
        <v>20.258140000000001</v>
      </c>
      <c r="O185" s="79">
        <v>54.28454</v>
      </c>
      <c r="P185" s="79">
        <v>6564.1558400000004</v>
      </c>
      <c r="Q185" s="77"/>
      <c r="R185" s="77"/>
      <c r="S185" s="77"/>
      <c r="T185" s="77"/>
      <c r="U185" s="77"/>
      <c r="V185" s="87"/>
      <c r="W185" s="87"/>
      <c r="X185" s="87"/>
      <c r="Y185" s="77"/>
      <c r="Z185" s="88"/>
      <c r="AA185" s="35"/>
      <c r="AB185" s="35"/>
    </row>
    <row r="186" spans="1:28" x14ac:dyDescent="0.25">
      <c r="A186" s="68" t="str">
        <f t="shared" si="9"/>
        <v>342520</v>
      </c>
      <c r="B186" s="10">
        <f t="shared" si="10"/>
        <v>135.8973</v>
      </c>
      <c r="C186" s="77" t="s">
        <v>4874</v>
      </c>
      <c r="D186" s="191" t="str">
        <f t="shared" si="8"/>
        <v>StrongLumio čidlo pro vypínač/dveřní senzor, bílá</v>
      </c>
      <c r="E186" s="77" t="s">
        <v>1343</v>
      </c>
      <c r="F186" s="77" t="s">
        <v>1344</v>
      </c>
      <c r="G186" s="77" t="s">
        <v>1346</v>
      </c>
      <c r="H186" s="77" t="s">
        <v>1345</v>
      </c>
      <c r="I186" s="77" t="s">
        <v>795</v>
      </c>
      <c r="J186" s="90">
        <v>1</v>
      </c>
      <c r="K186" s="91">
        <v>1</v>
      </c>
      <c r="L186" s="77" t="s">
        <v>227</v>
      </c>
      <c r="M186" s="78">
        <v>135.8973</v>
      </c>
      <c r="N186" s="79">
        <v>6.20608</v>
      </c>
      <c r="O186" s="79">
        <v>19.478470000000002</v>
      </c>
      <c r="P186" s="79">
        <v>2435.8203400000002</v>
      </c>
      <c r="Q186" s="77"/>
      <c r="R186" s="77"/>
      <c r="S186" s="77"/>
      <c r="T186" s="77"/>
      <c r="U186" s="77"/>
      <c r="V186" s="87"/>
      <c r="W186" s="87"/>
      <c r="X186" s="87"/>
      <c r="Y186" s="77"/>
      <c r="Z186" s="88"/>
      <c r="AA186" s="35"/>
      <c r="AB186" s="35"/>
    </row>
    <row r="187" spans="1:28" x14ac:dyDescent="0.25">
      <c r="A187" s="68" t="str">
        <f t="shared" si="9"/>
        <v>342519</v>
      </c>
      <c r="B187" s="10">
        <f t="shared" si="10"/>
        <v>157.27257</v>
      </c>
      <c r="C187" s="77" t="s">
        <v>4875</v>
      </c>
      <c r="D187" s="191" t="str">
        <f t="shared" si="8"/>
        <v>StrongLumio čidlo pro vypínač/dveřní senzor, černá</v>
      </c>
      <c r="E187" s="77" t="s">
        <v>1347</v>
      </c>
      <c r="F187" s="77" t="s">
        <v>1348</v>
      </c>
      <c r="G187" s="77" t="s">
        <v>1350</v>
      </c>
      <c r="H187" s="77" t="s">
        <v>1349</v>
      </c>
      <c r="I187" s="77" t="s">
        <v>795</v>
      </c>
      <c r="J187" s="90">
        <v>1</v>
      </c>
      <c r="K187" s="91">
        <v>1</v>
      </c>
      <c r="L187" s="77" t="s">
        <v>227</v>
      </c>
      <c r="M187" s="78">
        <v>157.27257</v>
      </c>
      <c r="N187" s="79">
        <v>7.02393</v>
      </c>
      <c r="O187" s="79">
        <v>20.002030000000001</v>
      </c>
      <c r="P187" s="79">
        <v>2435.8203400000002</v>
      </c>
      <c r="Q187" s="77"/>
      <c r="R187" s="77"/>
      <c r="S187" s="77"/>
      <c r="T187" s="77"/>
      <c r="U187" s="77"/>
      <c r="V187" s="87"/>
      <c r="W187" s="87"/>
      <c r="X187" s="87"/>
      <c r="Y187" s="77"/>
      <c r="Z187" s="88"/>
      <c r="AA187" s="35"/>
      <c r="AB187" s="35"/>
    </row>
    <row r="188" spans="1:28" x14ac:dyDescent="0.25">
      <c r="A188" s="68" t="str">
        <f t="shared" si="9"/>
        <v>467120</v>
      </c>
      <c r="B188" s="10">
        <f t="shared" si="10"/>
        <v>800.61695999999995</v>
      </c>
      <c r="C188" s="77" t="s">
        <v>4876</v>
      </c>
      <c r="D188" s="191" t="str">
        <f t="shared" si="8"/>
        <v>StrongLumio dálkový ovladač otočný DIM/CCT/RGB/RGBW - 1 zóna</v>
      </c>
      <c r="E188" s="77" t="s">
        <v>1351</v>
      </c>
      <c r="F188" s="77" t="s">
        <v>1352</v>
      </c>
      <c r="G188" s="77" t="s">
        <v>1354</v>
      </c>
      <c r="H188" s="77" t="s">
        <v>1353</v>
      </c>
      <c r="I188" s="77" t="s">
        <v>795</v>
      </c>
      <c r="J188" s="90">
        <v>50</v>
      </c>
      <c r="K188" s="91">
        <v>1</v>
      </c>
      <c r="L188" s="77" t="s">
        <v>227</v>
      </c>
      <c r="M188" s="78">
        <v>800.61695999999995</v>
      </c>
      <c r="N188" s="79">
        <v>31.197489999999998</v>
      </c>
      <c r="O188" s="79">
        <v>110.0706</v>
      </c>
      <c r="P188" s="79">
        <v>10153.92858</v>
      </c>
      <c r="Q188" s="77"/>
      <c r="R188" s="77"/>
      <c r="S188" s="77"/>
      <c r="T188" s="77"/>
      <c r="U188" s="77"/>
      <c r="V188" s="87"/>
      <c r="W188" s="87"/>
      <c r="X188" s="87"/>
      <c r="Y188" s="77"/>
      <c r="Z188" s="88"/>
      <c r="AA188" s="35"/>
      <c r="AB188" s="35"/>
    </row>
    <row r="189" spans="1:28" x14ac:dyDescent="0.25">
      <c r="A189" s="68" t="str">
        <f t="shared" si="9"/>
        <v>544562</v>
      </c>
      <c r="B189" s="10">
        <f t="shared" si="10"/>
        <v>279.83999999999997</v>
      </c>
      <c r="C189" s="77" t="s">
        <v>4877</v>
      </c>
      <c r="D189" s="191" t="str">
        <f t="shared" si="8"/>
        <v>StrongLumio dálkový ovladač pro digitální LED pásky 12-24V</v>
      </c>
      <c r="E189" s="77" t="s">
        <v>1355</v>
      </c>
      <c r="F189" s="77" t="s">
        <v>1356</v>
      </c>
      <c r="G189" s="77" t="s">
        <v>6426</v>
      </c>
      <c r="H189" s="77" t="s">
        <v>6425</v>
      </c>
      <c r="I189" s="77" t="s">
        <v>889</v>
      </c>
      <c r="J189" s="90">
        <v>10</v>
      </c>
      <c r="K189" s="91">
        <v>1</v>
      </c>
      <c r="L189" s="77" t="s">
        <v>227</v>
      </c>
      <c r="M189" s="78">
        <v>279.83999999999997</v>
      </c>
      <c r="N189" s="79">
        <v>8.6704799999999995</v>
      </c>
      <c r="O189" s="79">
        <v>20.509409999999999</v>
      </c>
      <c r="P189" s="79">
        <v>2724.2990799999998</v>
      </c>
      <c r="Q189" s="77"/>
      <c r="R189" s="77"/>
      <c r="S189" s="77"/>
      <c r="T189" s="77"/>
      <c r="U189" s="77"/>
      <c r="V189" s="87"/>
      <c r="W189" s="87"/>
      <c r="X189" s="87"/>
      <c r="Y189" s="77"/>
      <c r="Z189" s="88"/>
      <c r="AA189" s="35"/>
      <c r="AB189" s="35"/>
    </row>
    <row r="190" spans="1:28" x14ac:dyDescent="0.25">
      <c r="A190" s="68" t="str">
        <f t="shared" si="9"/>
        <v>467118</v>
      </c>
      <c r="B190" s="10">
        <f t="shared" si="10"/>
        <v>504.26531999999997</v>
      </c>
      <c r="C190" s="77" t="s">
        <v>4878</v>
      </c>
      <c r="D190" s="191" t="str">
        <f t="shared" si="8"/>
        <v>StrongLumio dálkový ovladač RF univerzální 2 v 1</v>
      </c>
      <c r="E190" s="77" t="s">
        <v>1357</v>
      </c>
      <c r="F190" s="77" t="s">
        <v>1358</v>
      </c>
      <c r="G190" s="77" t="s">
        <v>1360</v>
      </c>
      <c r="H190" s="77" t="s">
        <v>1359</v>
      </c>
      <c r="I190" s="77" t="s">
        <v>795</v>
      </c>
      <c r="J190" s="90">
        <v>100</v>
      </c>
      <c r="K190" s="91">
        <v>1</v>
      </c>
      <c r="L190" s="77" t="s">
        <v>227</v>
      </c>
      <c r="M190" s="78">
        <v>504.26531999999997</v>
      </c>
      <c r="N190" s="79">
        <v>20.703130000000002</v>
      </c>
      <c r="O190" s="79">
        <v>58.819200000000002</v>
      </c>
      <c r="P190" s="79">
        <v>6031.8818300000003</v>
      </c>
      <c r="Q190" s="77"/>
      <c r="R190" s="77"/>
      <c r="S190" s="77"/>
      <c r="T190" s="77"/>
      <c r="U190" s="77"/>
      <c r="V190" s="87"/>
      <c r="W190" s="87"/>
      <c r="X190" s="87"/>
      <c r="Y190" s="77"/>
      <c r="Z190" s="88"/>
      <c r="AA190" s="35"/>
      <c r="AB190" s="35"/>
    </row>
    <row r="191" spans="1:28" x14ac:dyDescent="0.25">
      <c r="A191" s="68" t="str">
        <f t="shared" si="9"/>
        <v>405206</v>
      </c>
      <c r="B191" s="10">
        <f t="shared" si="10"/>
        <v>504.26531999999997</v>
      </c>
      <c r="C191" s="77" t="s">
        <v>4879</v>
      </c>
      <c r="D191" s="191" t="str">
        <f t="shared" si="8"/>
        <v>StrongLumio dálkový ovladač RF univerzální, 5 v 1</v>
      </c>
      <c r="E191" s="77" t="s">
        <v>1361</v>
      </c>
      <c r="F191" s="77" t="s">
        <v>1362</v>
      </c>
      <c r="G191" s="77" t="s">
        <v>1364</v>
      </c>
      <c r="H191" s="77" t="s">
        <v>1363</v>
      </c>
      <c r="I191" s="77" t="s">
        <v>795</v>
      </c>
      <c r="J191" s="90">
        <v>100</v>
      </c>
      <c r="K191" s="91">
        <v>1</v>
      </c>
      <c r="L191" s="77" t="s">
        <v>227</v>
      </c>
      <c r="M191" s="78">
        <v>504.26531999999997</v>
      </c>
      <c r="N191" s="79">
        <v>20.703130000000002</v>
      </c>
      <c r="O191" s="79">
        <v>62.153579999999998</v>
      </c>
      <c r="P191" s="79">
        <v>6031.8818300000003</v>
      </c>
      <c r="Q191" s="77"/>
      <c r="R191" s="77"/>
      <c r="S191" s="77"/>
      <c r="T191" s="77"/>
      <c r="U191" s="77"/>
      <c r="V191" s="87"/>
      <c r="W191" s="87"/>
      <c r="X191" s="87"/>
      <c r="Y191" s="77"/>
      <c r="Z191" s="88"/>
      <c r="AA191" s="35"/>
      <c r="AB191" s="35"/>
    </row>
    <row r="192" spans="1:28" x14ac:dyDescent="0.25">
      <c r="A192" s="10" t="str">
        <f>C192</f>
        <v>342513</v>
      </c>
      <c r="B192" s="10">
        <f t="shared" si="10"/>
        <v>226.49549999999999</v>
      </c>
      <c r="C192" s="77" t="s">
        <v>4880</v>
      </c>
      <c r="D192" s="191" t="str">
        <f t="shared" si="8"/>
        <v>StrongLumio dotykový senzor s pružinou do profilu, 12-24V 8A</v>
      </c>
      <c r="E192" s="77" t="s">
        <v>1365</v>
      </c>
      <c r="F192" s="77" t="s">
        <v>1365</v>
      </c>
      <c r="G192" s="77" t="s">
        <v>1367</v>
      </c>
      <c r="H192" s="77" t="s">
        <v>1366</v>
      </c>
      <c r="I192" s="77" t="s">
        <v>795</v>
      </c>
      <c r="J192" s="90">
        <v>1</v>
      </c>
      <c r="K192" s="91">
        <v>1</v>
      </c>
      <c r="L192" s="77" t="s">
        <v>227</v>
      </c>
      <c r="M192" s="78">
        <v>226.49549999999999</v>
      </c>
      <c r="N192" s="79">
        <v>10.34346</v>
      </c>
      <c r="O192" s="79">
        <v>37.994579999999999</v>
      </c>
      <c r="P192" s="79">
        <v>4590.0429700000004</v>
      </c>
      <c r="Q192" s="77"/>
      <c r="R192" s="77"/>
      <c r="S192" s="77"/>
      <c r="T192" s="77"/>
      <c r="U192" s="77"/>
      <c r="V192" s="87"/>
      <c r="W192" s="87"/>
      <c r="X192" s="87"/>
      <c r="Y192" s="77"/>
      <c r="Z192" s="88"/>
      <c r="AA192" s="35"/>
      <c r="AB192" s="35"/>
    </row>
    <row r="193" spans="1:28" x14ac:dyDescent="0.25">
      <c r="A193" s="68" t="str">
        <f>C193</f>
        <v>546609</v>
      </c>
      <c r="B193" s="10">
        <f t="shared" si="10"/>
        <v>226.49549999999999</v>
      </c>
      <c r="C193" s="77" t="s">
        <v>4881</v>
      </c>
      <c r="D193" s="191" t="str">
        <f t="shared" si="8"/>
        <v>StrongLumio dotykový vypínač/stmívač pro digitální LED pásky 12-24V</v>
      </c>
      <c r="E193" s="77" t="s">
        <v>1368</v>
      </c>
      <c r="F193" s="77" t="s">
        <v>1369</v>
      </c>
      <c r="G193" s="77" t="s">
        <v>1371</v>
      </c>
      <c r="H193" s="77" t="s">
        <v>1370</v>
      </c>
      <c r="I193" s="77" t="s">
        <v>795</v>
      </c>
      <c r="J193" s="90">
        <v>1</v>
      </c>
      <c r="K193" s="91">
        <v>1</v>
      </c>
      <c r="L193" s="77" t="s">
        <v>227</v>
      </c>
      <c r="M193" s="78">
        <v>226.49549999999999</v>
      </c>
      <c r="N193" s="79">
        <v>10.386049999999999</v>
      </c>
      <c r="O193" s="79">
        <v>43.858359999999998</v>
      </c>
      <c r="P193" s="79">
        <v>3397.625</v>
      </c>
      <c r="Q193" s="77"/>
      <c r="R193" s="77"/>
      <c r="S193" s="77"/>
      <c r="T193" s="77"/>
      <c r="U193" s="77"/>
      <c r="V193" s="87"/>
      <c r="W193" s="87"/>
      <c r="X193" s="87"/>
      <c r="Y193" s="77"/>
      <c r="Z193" s="88"/>
      <c r="AA193" s="35"/>
      <c r="AB193" s="35"/>
    </row>
    <row r="194" spans="1:28" x14ac:dyDescent="0.25">
      <c r="A194" s="68" t="str">
        <f t="shared" si="9"/>
        <v>551050</v>
      </c>
      <c r="B194" s="10">
        <f t="shared" si="10"/>
        <v>161.31603999999999</v>
      </c>
      <c r="C194" s="77" t="s">
        <v>4882</v>
      </c>
      <c r="D194" s="191" t="str">
        <f t="shared" si="8"/>
        <v>StrongLumio držák pro zavěšení k profilům Maglyte</v>
      </c>
      <c r="E194" s="77" t="s">
        <v>1372</v>
      </c>
      <c r="F194" s="77" t="s">
        <v>1373</v>
      </c>
      <c r="G194" s="77" t="s">
        <v>1375</v>
      </c>
      <c r="H194" s="77" t="s">
        <v>1374</v>
      </c>
      <c r="I194" s="77" t="s">
        <v>889</v>
      </c>
      <c r="J194" s="90">
        <v>10</v>
      </c>
      <c r="K194" s="91">
        <v>1</v>
      </c>
      <c r="L194" s="77" t="s">
        <v>227</v>
      </c>
      <c r="M194" s="78">
        <v>161.31603999999999</v>
      </c>
      <c r="N194" s="79">
        <v>6.3198600000000003</v>
      </c>
      <c r="O194" s="79">
        <v>15.858169999999999</v>
      </c>
      <c r="P194" s="79">
        <v>2264.6568400000001</v>
      </c>
      <c r="Q194" s="77"/>
      <c r="R194" s="77"/>
      <c r="S194" s="77"/>
      <c r="T194" s="77"/>
      <c r="U194" s="77"/>
      <c r="V194" s="87"/>
      <c r="W194" s="87"/>
      <c r="X194" s="87"/>
      <c r="Y194" s="77"/>
      <c r="Z194" s="88"/>
      <c r="AA194" s="35"/>
      <c r="AB194" s="35"/>
    </row>
    <row r="195" spans="1:28" x14ac:dyDescent="0.25">
      <c r="A195" s="68" t="str">
        <f t="shared" si="9"/>
        <v>484229</v>
      </c>
      <c r="B195" s="10">
        <f t="shared" si="10"/>
        <v>300.62130000000002</v>
      </c>
      <c r="C195" s="77" t="s">
        <v>4883</v>
      </c>
      <c r="D195" s="191" t="str">
        <f t="shared" ref="D195:D258" si="11">IF($B$1=1,E195,IF($B$1=2,F195,IF($B$1=3,G195,IF($B$1=4,H195))))</f>
        <v>StrongLumio dveřní senzor alu 12/24V - 3PIN stříbrná</v>
      </c>
      <c r="E195" s="77" t="s">
        <v>1376</v>
      </c>
      <c r="F195" s="77" t="s">
        <v>1377</v>
      </c>
      <c r="G195" s="77" t="s">
        <v>1379</v>
      </c>
      <c r="H195" s="77" t="s">
        <v>1378</v>
      </c>
      <c r="I195" s="77" t="s">
        <v>795</v>
      </c>
      <c r="J195" s="90">
        <v>1</v>
      </c>
      <c r="K195" s="91">
        <v>1</v>
      </c>
      <c r="L195" s="77" t="s">
        <v>227</v>
      </c>
      <c r="M195" s="78">
        <v>300.62130000000002</v>
      </c>
      <c r="N195" s="79">
        <v>13.728590000000001</v>
      </c>
      <c r="O195" s="79">
        <v>42.894979999999997</v>
      </c>
      <c r="P195" s="79">
        <v>5350.35682</v>
      </c>
      <c r="Q195" s="77"/>
      <c r="R195" s="77"/>
      <c r="S195" s="77"/>
      <c r="T195" s="77"/>
      <c r="U195" s="77"/>
      <c r="V195" s="87"/>
      <c r="W195" s="87"/>
      <c r="X195" s="87"/>
      <c r="Y195" s="77"/>
      <c r="Z195" s="88"/>
      <c r="AA195" s="35"/>
      <c r="AB195" s="35"/>
    </row>
    <row r="196" spans="1:28" x14ac:dyDescent="0.25">
      <c r="A196" s="68" t="str">
        <f t="shared" si="9"/>
        <v>405915</v>
      </c>
      <c r="B196" s="10">
        <f t="shared" si="10"/>
        <v>300.62130000000002</v>
      </c>
      <c r="C196" s="77" t="s">
        <v>4884</v>
      </c>
      <c r="D196" s="191" t="str">
        <f t="shared" si="11"/>
        <v>StrongLumio dveřní senzor alu, 12/24V 48/96W 4A konektory Mini, bílá</v>
      </c>
      <c r="E196" s="77" t="s">
        <v>1380</v>
      </c>
      <c r="F196" s="77" t="s">
        <v>1381</v>
      </c>
      <c r="G196" s="77" t="s">
        <v>1383</v>
      </c>
      <c r="H196" s="77" t="s">
        <v>1382</v>
      </c>
      <c r="I196" s="77" t="s">
        <v>795</v>
      </c>
      <c r="J196" s="90">
        <v>1</v>
      </c>
      <c r="K196" s="91">
        <v>1</v>
      </c>
      <c r="L196" s="77" t="s">
        <v>227</v>
      </c>
      <c r="M196" s="78">
        <v>300.62130000000002</v>
      </c>
      <c r="N196" s="79">
        <v>13.728590000000001</v>
      </c>
      <c r="O196" s="79">
        <v>42.200830000000003</v>
      </c>
      <c r="P196" s="79">
        <v>5561.5550999999996</v>
      </c>
      <c r="Q196" s="77"/>
      <c r="R196" s="77"/>
      <c r="S196" s="77"/>
      <c r="T196" s="77"/>
      <c r="U196" s="77"/>
      <c r="V196" s="87"/>
      <c r="W196" s="87"/>
      <c r="X196" s="87"/>
      <c r="Y196" s="77"/>
      <c r="Z196" s="88"/>
      <c r="AA196" s="35"/>
      <c r="AB196" s="35"/>
    </row>
    <row r="197" spans="1:28" x14ac:dyDescent="0.25">
      <c r="A197" s="68" t="str">
        <f t="shared" si="9"/>
        <v>405916</v>
      </c>
      <c r="B197" s="10">
        <f t="shared" si="10"/>
        <v>359.09055000000001</v>
      </c>
      <c r="C197" s="77" t="s">
        <v>4885</v>
      </c>
      <c r="D197" s="191" t="str">
        <f t="shared" si="11"/>
        <v>StrongLumio dveřní senzor alu, 12/24V 48/96W 4A konektory Mini, černá</v>
      </c>
      <c r="E197" s="77" t="s">
        <v>1384</v>
      </c>
      <c r="F197" s="77" t="s">
        <v>1385</v>
      </c>
      <c r="G197" s="77" t="s">
        <v>1387</v>
      </c>
      <c r="H197" s="77" t="s">
        <v>1386</v>
      </c>
      <c r="I197" s="77" t="s">
        <v>795</v>
      </c>
      <c r="J197" s="90">
        <v>1</v>
      </c>
      <c r="K197" s="91">
        <v>1</v>
      </c>
      <c r="L197" s="77" t="s">
        <v>227</v>
      </c>
      <c r="M197" s="78">
        <v>359.09055000000001</v>
      </c>
      <c r="N197" s="79">
        <v>16.037240000000001</v>
      </c>
      <c r="O197" s="79">
        <v>45.669359999999998</v>
      </c>
      <c r="P197" s="79">
        <v>5561.5550999999996</v>
      </c>
      <c r="Q197" s="77"/>
      <c r="R197" s="77"/>
      <c r="S197" s="77"/>
      <c r="T197" s="77"/>
      <c r="U197" s="77"/>
      <c r="V197" s="87"/>
      <c r="W197" s="87"/>
      <c r="X197" s="87"/>
      <c r="Y197" s="77"/>
      <c r="Z197" s="88"/>
      <c r="AA197" s="35"/>
      <c r="AB197" s="35"/>
    </row>
    <row r="198" spans="1:28" x14ac:dyDescent="0.25">
      <c r="A198" s="68" t="str">
        <f t="shared" si="9"/>
        <v>342514</v>
      </c>
      <c r="B198" s="10">
        <f t="shared" si="10"/>
        <v>312.97559999999999</v>
      </c>
      <c r="C198" s="77" t="s">
        <v>4886</v>
      </c>
      <c r="D198" s="191" t="str">
        <f t="shared" si="11"/>
        <v>StrongLumio dveřní senzor alu, 12/24V 48/96W 4A konektory Mini, stříbrná</v>
      </c>
      <c r="E198" s="77" t="s">
        <v>1388</v>
      </c>
      <c r="F198" s="77" t="s">
        <v>1389</v>
      </c>
      <c r="G198" s="77" t="s">
        <v>1391</v>
      </c>
      <c r="H198" s="77" t="s">
        <v>1390</v>
      </c>
      <c r="I198" s="77" t="s">
        <v>795</v>
      </c>
      <c r="J198" s="90">
        <v>1</v>
      </c>
      <c r="K198" s="91">
        <v>1</v>
      </c>
      <c r="L198" s="77" t="s">
        <v>227</v>
      </c>
      <c r="M198" s="78">
        <v>312.97559999999999</v>
      </c>
      <c r="N198" s="79">
        <v>15.42826</v>
      </c>
      <c r="O198" s="79">
        <v>42.843269999999997</v>
      </c>
      <c r="P198" s="79">
        <v>5350.35682</v>
      </c>
      <c r="Q198" s="77"/>
      <c r="R198" s="77"/>
      <c r="S198" s="77"/>
      <c r="T198" s="77"/>
      <c r="U198" s="77"/>
      <c r="V198" s="87"/>
      <c r="W198" s="87"/>
      <c r="X198" s="87"/>
      <c r="Y198" s="77"/>
      <c r="Z198" s="88"/>
      <c r="AA198" s="35"/>
      <c r="AB198" s="35"/>
    </row>
    <row r="199" spans="1:28" x14ac:dyDescent="0.25">
      <c r="A199" s="68" t="str">
        <f t="shared" si="9"/>
        <v>374369</v>
      </c>
      <c r="B199" s="10">
        <f t="shared" si="10"/>
        <v>300.62130000000002</v>
      </c>
      <c r="C199" s="77" t="s">
        <v>4887</v>
      </c>
      <c r="D199" s="191" t="str">
        <f t="shared" si="11"/>
        <v>StrongLumio dveřní senzor plast, 12-24V, 4A konektory Mini, bílá</v>
      </c>
      <c r="E199" s="77" t="s">
        <v>1392</v>
      </c>
      <c r="F199" s="77" t="s">
        <v>1393</v>
      </c>
      <c r="G199" s="77" t="s">
        <v>1395</v>
      </c>
      <c r="H199" s="77" t="s">
        <v>1394</v>
      </c>
      <c r="I199" s="77" t="s">
        <v>795</v>
      </c>
      <c r="J199" s="90">
        <v>1</v>
      </c>
      <c r="K199" s="91">
        <v>1</v>
      </c>
      <c r="L199" s="77" t="s">
        <v>227</v>
      </c>
      <c r="M199" s="78">
        <v>300.62130000000002</v>
      </c>
      <c r="N199" s="79">
        <v>13.728590000000001</v>
      </c>
      <c r="O199" s="79">
        <v>43.965009999999999</v>
      </c>
      <c r="P199" s="79">
        <v>5561.5550999999996</v>
      </c>
      <c r="Q199" s="77"/>
      <c r="R199" s="77"/>
      <c r="S199" s="77"/>
      <c r="T199" s="77"/>
      <c r="U199" s="77"/>
      <c r="V199" s="87"/>
      <c r="W199" s="87"/>
      <c r="X199" s="87"/>
      <c r="Y199" s="77"/>
      <c r="Z199" s="88"/>
      <c r="AA199" s="35"/>
      <c r="AB199" s="35"/>
    </row>
    <row r="200" spans="1:28" x14ac:dyDescent="0.25">
      <c r="A200" s="68" t="str">
        <f t="shared" si="9"/>
        <v>546608</v>
      </c>
      <c r="B200" s="10">
        <f t="shared" si="10"/>
        <v>401.92655999999999</v>
      </c>
      <c r="C200" s="77" t="s">
        <v>4888</v>
      </c>
      <c r="D200" s="191" t="str">
        <f t="shared" si="11"/>
        <v>StrongLumio dveřní vypínač pro max 4 magnetické senzory, 12/24V</v>
      </c>
      <c r="E200" s="77" t="s">
        <v>1396</v>
      </c>
      <c r="F200" s="77" t="s">
        <v>1397</v>
      </c>
      <c r="G200" s="77" t="s">
        <v>1398</v>
      </c>
      <c r="H200" s="77" t="s">
        <v>6427</v>
      </c>
      <c r="I200" s="77" t="s">
        <v>795</v>
      </c>
      <c r="J200" s="90">
        <v>1</v>
      </c>
      <c r="K200" s="91">
        <v>1</v>
      </c>
      <c r="L200" s="77" t="s">
        <v>227</v>
      </c>
      <c r="M200" s="78">
        <v>401.92655999999999</v>
      </c>
      <c r="N200" s="79">
        <v>18.430510000000002</v>
      </c>
      <c r="O200" s="79">
        <v>59.905920000000002</v>
      </c>
      <c r="P200" s="79">
        <v>6029.24</v>
      </c>
      <c r="Q200" s="77"/>
      <c r="R200" s="77"/>
      <c r="S200" s="77"/>
      <c r="T200" s="77"/>
      <c r="U200" s="77"/>
      <c r="V200" s="87"/>
      <c r="W200" s="87"/>
      <c r="X200" s="87"/>
      <c r="Y200" s="77"/>
      <c r="Z200" s="88"/>
      <c r="AA200" s="35"/>
      <c r="AB200" s="35"/>
    </row>
    <row r="201" spans="1:28" x14ac:dyDescent="0.25">
      <c r="A201" s="68" t="str">
        <f t="shared" si="9"/>
        <v>465852</v>
      </c>
      <c r="B201" s="10">
        <f t="shared" si="10"/>
        <v>20.8263</v>
      </c>
      <c r="C201" s="77" t="s">
        <v>4889</v>
      </c>
      <c r="D201" s="191" t="str">
        <f t="shared" si="11"/>
        <v>StrongLumio Dvojlinka 2x0,5mm 2 20AWG bílo-červená</v>
      </c>
      <c r="E201" s="77" t="s">
        <v>1399</v>
      </c>
      <c r="F201" s="77" t="s">
        <v>1400</v>
      </c>
      <c r="G201" s="77" t="s">
        <v>1402</v>
      </c>
      <c r="H201" s="77" t="s">
        <v>1401</v>
      </c>
      <c r="I201" s="77" t="s">
        <v>992</v>
      </c>
      <c r="J201" s="90">
        <v>100</v>
      </c>
      <c r="K201" s="91">
        <v>1</v>
      </c>
      <c r="L201" s="77" t="s">
        <v>227</v>
      </c>
      <c r="M201" s="78">
        <v>20.8263</v>
      </c>
      <c r="N201" s="79">
        <v>0.89166000000000001</v>
      </c>
      <c r="O201" s="79">
        <v>2.9409399999999999</v>
      </c>
      <c r="P201" s="79">
        <v>307.45</v>
      </c>
      <c r="Q201" s="77"/>
      <c r="R201" s="77"/>
      <c r="S201" s="77"/>
      <c r="T201" s="77"/>
      <c r="U201" s="77"/>
      <c r="V201" s="87"/>
      <c r="W201" s="87"/>
      <c r="X201" s="87"/>
      <c r="Y201" s="77"/>
      <c r="Z201" s="88"/>
      <c r="AA201" s="35"/>
      <c r="AB201" s="35"/>
    </row>
    <row r="202" spans="1:28" x14ac:dyDescent="0.25">
      <c r="A202" s="68" t="str">
        <f t="shared" si="9"/>
        <v>347904</v>
      </c>
      <c r="B202" s="10">
        <f t="shared" si="10"/>
        <v>22.237739999999999</v>
      </c>
      <c r="C202" s="77" t="s">
        <v>4890</v>
      </c>
      <c r="D202" s="191" t="str">
        <f t="shared" si="11"/>
        <v>StrongLumio Dvojlinka 2x0,5mm2 20AWG, červeno-černá</v>
      </c>
      <c r="E202" s="77" t="s">
        <v>1403</v>
      </c>
      <c r="F202" s="77" t="s">
        <v>1404</v>
      </c>
      <c r="G202" s="77" t="s">
        <v>1406</v>
      </c>
      <c r="H202" s="77" t="s">
        <v>1405</v>
      </c>
      <c r="I202" s="77" t="s">
        <v>992</v>
      </c>
      <c r="J202" s="90">
        <v>100</v>
      </c>
      <c r="K202" s="91">
        <v>1</v>
      </c>
      <c r="L202" s="77" t="s">
        <v>227</v>
      </c>
      <c r="M202" s="78">
        <v>22.237739999999999</v>
      </c>
      <c r="N202" s="79">
        <v>1.0155400000000001</v>
      </c>
      <c r="O202" s="79">
        <v>3.04413</v>
      </c>
      <c r="P202" s="79">
        <v>281.59773999999999</v>
      </c>
      <c r="Q202" s="77"/>
      <c r="R202" s="77"/>
      <c r="S202" s="77"/>
      <c r="T202" s="77"/>
      <c r="U202" s="77"/>
      <c r="V202" s="87"/>
      <c r="W202" s="87"/>
      <c r="X202" s="87"/>
      <c r="Y202" s="77"/>
      <c r="Z202" s="88"/>
      <c r="AA202" s="35"/>
      <c r="AB202" s="35"/>
    </row>
    <row r="203" spans="1:28" x14ac:dyDescent="0.25">
      <c r="A203" s="68" t="str">
        <f t="shared" si="9"/>
        <v>356974</v>
      </c>
      <c r="B203" s="10">
        <f t="shared" si="10"/>
        <v>123.98399999999999</v>
      </c>
      <c r="C203" s="77" t="s">
        <v>4891</v>
      </c>
      <c r="D203" s="191" t="str">
        <f t="shared" si="11"/>
        <v>StrongLumio Elektroinstalační lišta 12x7mm samolepící, bílá, 2m</v>
      </c>
      <c r="E203" s="77" t="s">
        <v>1407</v>
      </c>
      <c r="F203" s="77" t="s">
        <v>1408</v>
      </c>
      <c r="G203" s="77" t="s">
        <v>1410</v>
      </c>
      <c r="H203" s="77" t="s">
        <v>1409</v>
      </c>
      <c r="I203" s="77" t="s">
        <v>795</v>
      </c>
      <c r="J203" s="90">
        <v>25</v>
      </c>
      <c r="K203" s="91">
        <v>1</v>
      </c>
      <c r="L203" s="77" t="s">
        <v>227</v>
      </c>
      <c r="M203" s="78">
        <v>123.98399999999999</v>
      </c>
      <c r="N203" s="79">
        <v>5.3081699999999996</v>
      </c>
      <c r="O203" s="79">
        <v>18.528269999999999</v>
      </c>
      <c r="P203" s="79">
        <v>1756.19859</v>
      </c>
      <c r="Q203" s="77"/>
      <c r="R203" s="77"/>
      <c r="S203" s="77"/>
      <c r="T203" s="77"/>
      <c r="U203" s="77"/>
      <c r="V203" s="87"/>
      <c r="W203" s="87"/>
      <c r="X203" s="87"/>
      <c r="Y203" s="77"/>
      <c r="Z203" s="88"/>
      <c r="AA203" s="35"/>
      <c r="AB203" s="35"/>
    </row>
    <row r="204" spans="1:28" x14ac:dyDescent="0.25">
      <c r="A204" s="68" t="str">
        <f t="shared" si="9"/>
        <v>356971</v>
      </c>
      <c r="B204" s="10">
        <f t="shared" si="10"/>
        <v>28.08</v>
      </c>
      <c r="C204" s="77" t="s">
        <v>4892</v>
      </c>
      <c r="D204" s="191" t="str">
        <f t="shared" si="11"/>
        <v>StrongLumio Elektroinstalační lišta 12x7mm samolepící, imitace dřeva natur, 1m</v>
      </c>
      <c r="E204" s="77" t="s">
        <v>1411</v>
      </c>
      <c r="F204" s="77" t="s">
        <v>1412</v>
      </c>
      <c r="G204" s="77" t="s">
        <v>1414</v>
      </c>
      <c r="H204" s="77" t="s">
        <v>1413</v>
      </c>
      <c r="I204" s="77" t="s">
        <v>795</v>
      </c>
      <c r="J204" s="90">
        <v>50</v>
      </c>
      <c r="K204" s="91">
        <v>1</v>
      </c>
      <c r="L204" s="77" t="s">
        <v>160</v>
      </c>
      <c r="M204" s="78">
        <v>28.08</v>
      </c>
      <c r="N204" s="79">
        <v>1.2968900000000001</v>
      </c>
      <c r="O204" s="79">
        <v>5.5100499999999997</v>
      </c>
      <c r="P204" s="79">
        <v>447.13377000000003</v>
      </c>
      <c r="Q204" s="77"/>
      <c r="R204" s="77"/>
      <c r="S204" s="77"/>
      <c r="T204" s="77"/>
      <c r="U204" s="77"/>
      <c r="V204" s="87"/>
      <c r="W204" s="87"/>
      <c r="X204" s="87"/>
      <c r="Y204" s="77"/>
      <c r="Z204" s="88"/>
      <c r="AA204" s="35"/>
      <c r="AB204" s="35"/>
    </row>
    <row r="205" spans="1:28" x14ac:dyDescent="0.25">
      <c r="A205" s="68" t="str">
        <f t="shared" si="9"/>
        <v>356975</v>
      </c>
      <c r="B205" s="10">
        <f t="shared" si="10"/>
        <v>166.9248</v>
      </c>
      <c r="C205" s="77" t="s">
        <v>4893</v>
      </c>
      <c r="D205" s="191" t="str">
        <f t="shared" si="11"/>
        <v>StrongLumio Elektroinstalační lišta 12x7mm samolepící, imitace dřeva natur, 2m</v>
      </c>
      <c r="E205" s="77" t="s">
        <v>1415</v>
      </c>
      <c r="F205" s="77" t="s">
        <v>1416</v>
      </c>
      <c r="G205" s="77" t="s">
        <v>1418</v>
      </c>
      <c r="H205" s="77" t="s">
        <v>1417</v>
      </c>
      <c r="I205" s="77" t="s">
        <v>795</v>
      </c>
      <c r="J205" s="90">
        <v>25</v>
      </c>
      <c r="K205" s="91">
        <v>1</v>
      </c>
      <c r="L205" s="77" t="s">
        <v>227</v>
      </c>
      <c r="M205" s="78">
        <v>166.9248</v>
      </c>
      <c r="N205" s="79">
        <v>7.1466000000000003</v>
      </c>
      <c r="O205" s="79">
        <v>23.37219</v>
      </c>
      <c r="P205" s="79">
        <v>2364.4429799999998</v>
      </c>
      <c r="Q205" s="77"/>
      <c r="R205" s="77"/>
      <c r="S205" s="77"/>
      <c r="T205" s="77"/>
      <c r="U205" s="77"/>
      <c r="V205" s="87"/>
      <c r="W205" s="87"/>
      <c r="X205" s="87"/>
      <c r="Y205" s="77"/>
      <c r="Z205" s="88"/>
      <c r="AA205" s="35"/>
      <c r="AB205" s="35"/>
    </row>
    <row r="206" spans="1:28" x14ac:dyDescent="0.25">
      <c r="A206" s="68" t="str">
        <f t="shared" si="9"/>
        <v>356976</v>
      </c>
      <c r="B206" s="10">
        <f t="shared" si="10"/>
        <v>166.9248</v>
      </c>
      <c r="C206" s="77" t="s">
        <v>4894</v>
      </c>
      <c r="D206" s="191" t="str">
        <f t="shared" si="11"/>
        <v>StrongLumio Elektroinstalační lišta 12x7mm samolepící, imitace dřeva tmavá, 2m</v>
      </c>
      <c r="E206" s="77" t="s">
        <v>1419</v>
      </c>
      <c r="F206" s="77" t="s">
        <v>1420</v>
      </c>
      <c r="G206" s="77" t="s">
        <v>1422</v>
      </c>
      <c r="H206" s="77" t="s">
        <v>1421</v>
      </c>
      <c r="I206" s="77" t="s">
        <v>795</v>
      </c>
      <c r="J206" s="90">
        <v>25</v>
      </c>
      <c r="K206" s="91">
        <v>1</v>
      </c>
      <c r="L206" s="77" t="s">
        <v>227</v>
      </c>
      <c r="M206" s="78">
        <v>166.9248</v>
      </c>
      <c r="N206" s="79">
        <v>7.1466000000000003</v>
      </c>
      <c r="O206" s="79">
        <v>24.293150000000001</v>
      </c>
      <c r="P206" s="79">
        <v>2364.4429799999998</v>
      </c>
      <c r="Q206" s="77"/>
      <c r="R206" s="77"/>
      <c r="S206" s="77"/>
      <c r="T206" s="77"/>
      <c r="U206" s="77"/>
      <c r="V206" s="87"/>
      <c r="W206" s="87"/>
      <c r="X206" s="87"/>
      <c r="Y206" s="77"/>
      <c r="Z206" s="88"/>
      <c r="AA206" s="35"/>
      <c r="AB206" s="35"/>
    </row>
    <row r="207" spans="1:28" x14ac:dyDescent="0.25">
      <c r="A207" s="68" t="str">
        <f t="shared" si="9"/>
        <v>356977</v>
      </c>
      <c r="B207" s="10">
        <f t="shared" si="10"/>
        <v>137.28960000000001</v>
      </c>
      <c r="C207" s="77" t="s">
        <v>4895</v>
      </c>
      <c r="D207" s="191" t="str">
        <f t="shared" si="11"/>
        <v>StrongLumio Elektroinstalační lišta 15x10mm samolepící, bílá, 2m</v>
      </c>
      <c r="E207" s="77" t="s">
        <v>1423</v>
      </c>
      <c r="F207" s="77" t="s">
        <v>1424</v>
      </c>
      <c r="G207" s="77" t="s">
        <v>1426</v>
      </c>
      <c r="H207" s="77" t="s">
        <v>1425</v>
      </c>
      <c r="I207" s="77" t="s">
        <v>795</v>
      </c>
      <c r="J207" s="90">
        <v>50</v>
      </c>
      <c r="K207" s="91">
        <v>1</v>
      </c>
      <c r="L207" s="77" t="s">
        <v>227</v>
      </c>
      <c r="M207" s="78">
        <v>137.28960000000001</v>
      </c>
      <c r="N207" s="79">
        <v>5.8778100000000002</v>
      </c>
      <c r="O207" s="79">
        <v>19.22278</v>
      </c>
      <c r="P207" s="79">
        <v>1944.6686999999999</v>
      </c>
      <c r="Q207" s="77"/>
      <c r="R207" s="77"/>
      <c r="S207" s="77"/>
      <c r="T207" s="77"/>
      <c r="U207" s="77"/>
      <c r="V207" s="87"/>
      <c r="W207" s="87"/>
      <c r="X207" s="87"/>
      <c r="Y207" s="77"/>
      <c r="Z207" s="88"/>
      <c r="AA207" s="35"/>
      <c r="AB207" s="35"/>
    </row>
    <row r="208" spans="1:28" x14ac:dyDescent="0.25">
      <c r="A208" s="68" t="str">
        <f t="shared" si="9"/>
        <v>507818</v>
      </c>
      <c r="B208" s="10">
        <f t="shared" si="10"/>
        <v>114.20864</v>
      </c>
      <c r="C208" s="77" t="s">
        <v>4896</v>
      </c>
      <c r="D208" s="191" t="str">
        <f t="shared" si="11"/>
        <v>StrongLumio flexibilní dotykový vypínač/stmívač do alu profilu</v>
      </c>
      <c r="E208" s="77" t="s">
        <v>1427</v>
      </c>
      <c r="F208" s="77" t="s">
        <v>1428</v>
      </c>
      <c r="G208" s="77" t="s">
        <v>1430</v>
      </c>
      <c r="H208" s="77" t="s">
        <v>1429</v>
      </c>
      <c r="I208" s="77" t="s">
        <v>795</v>
      </c>
      <c r="J208" s="90">
        <v>40</v>
      </c>
      <c r="K208" s="91">
        <v>1</v>
      </c>
      <c r="L208" s="77" t="s">
        <v>227</v>
      </c>
      <c r="M208" s="78">
        <v>114.20864</v>
      </c>
      <c r="N208" s="79">
        <v>5.0815099999999997</v>
      </c>
      <c r="O208" s="79">
        <v>19.525490000000001</v>
      </c>
      <c r="P208" s="79">
        <v>1774.61265</v>
      </c>
      <c r="Q208" s="77"/>
      <c r="R208" s="77"/>
      <c r="S208" s="77"/>
      <c r="T208" s="77"/>
      <c r="U208" s="77"/>
      <c r="V208" s="87"/>
      <c r="W208" s="87"/>
      <c r="X208" s="87"/>
      <c r="Y208" s="77"/>
      <c r="Z208" s="88"/>
      <c r="AA208" s="35"/>
      <c r="AB208" s="35"/>
    </row>
    <row r="209" spans="1:28" x14ac:dyDescent="0.25">
      <c r="A209" s="68" t="str">
        <f t="shared" si="9"/>
        <v>546597</v>
      </c>
      <c r="B209" s="10">
        <f t="shared" si="10"/>
        <v>270.61799999999999</v>
      </c>
      <c r="C209" s="77" t="s">
        <v>4897</v>
      </c>
      <c r="D209" s="191" t="str">
        <f t="shared" si="11"/>
        <v>StrongLumio interiérové LED světlo Mini 300mm černá</v>
      </c>
      <c r="E209" s="77" t="s">
        <v>1431</v>
      </c>
      <c r="F209" s="77" t="s">
        <v>6428</v>
      </c>
      <c r="G209" s="77" t="s">
        <v>1433</v>
      </c>
      <c r="H209" s="77" t="s">
        <v>1432</v>
      </c>
      <c r="I209" s="77" t="s">
        <v>795</v>
      </c>
      <c r="J209" s="90">
        <v>1</v>
      </c>
      <c r="K209" s="91">
        <v>1</v>
      </c>
      <c r="L209" s="77" t="s">
        <v>227</v>
      </c>
      <c r="M209" s="78">
        <v>270.61799999999999</v>
      </c>
      <c r="N209" s="79">
        <v>10.26998</v>
      </c>
      <c r="O209" s="79">
        <v>56.650820000000003</v>
      </c>
      <c r="P209" s="79">
        <v>3375.5429800000002</v>
      </c>
      <c r="Q209" s="77"/>
      <c r="R209" s="77"/>
      <c r="S209" s="77"/>
      <c r="T209" s="77"/>
      <c r="U209" s="77"/>
      <c r="V209" s="87"/>
      <c r="W209" s="87"/>
      <c r="X209" s="87"/>
      <c r="Y209" s="77"/>
      <c r="Z209" s="88"/>
      <c r="AA209" s="35"/>
      <c r="AB209" s="35"/>
    </row>
    <row r="210" spans="1:28" x14ac:dyDescent="0.25">
      <c r="A210" s="68" t="str">
        <f t="shared" si="9"/>
        <v>546598</v>
      </c>
      <c r="B210" s="10">
        <f t="shared" si="10"/>
        <v>324.0102</v>
      </c>
      <c r="C210" s="77" t="s">
        <v>4898</v>
      </c>
      <c r="D210" s="191" t="str">
        <f t="shared" si="11"/>
        <v>StrongLumio interiérové LED světlo Mini 600mm černá</v>
      </c>
      <c r="E210" s="77" t="s">
        <v>1434</v>
      </c>
      <c r="F210" s="77" t="s">
        <v>1435</v>
      </c>
      <c r="G210" s="77" t="s">
        <v>1437</v>
      </c>
      <c r="H210" s="77" t="s">
        <v>1436</v>
      </c>
      <c r="I210" s="77" t="s">
        <v>795</v>
      </c>
      <c r="J210" s="90">
        <v>1</v>
      </c>
      <c r="K210" s="91">
        <v>1</v>
      </c>
      <c r="L210" s="77" t="s">
        <v>227</v>
      </c>
      <c r="M210" s="78">
        <v>324.0102</v>
      </c>
      <c r="N210" s="79">
        <v>12.29623</v>
      </c>
      <c r="O210" s="79">
        <v>66.375489999999999</v>
      </c>
      <c r="P210" s="79">
        <v>4041.5284999999999</v>
      </c>
      <c r="Q210" s="77"/>
      <c r="R210" s="77"/>
      <c r="S210" s="77"/>
      <c r="T210" s="77"/>
      <c r="U210" s="77"/>
      <c r="V210" s="87"/>
      <c r="W210" s="87"/>
      <c r="X210" s="87"/>
      <c r="Y210" s="77"/>
      <c r="Z210" s="88"/>
      <c r="AA210" s="35"/>
      <c r="AB210" s="35"/>
    </row>
    <row r="211" spans="1:28" x14ac:dyDescent="0.25">
      <c r="A211" s="68" t="str">
        <f t="shared" si="9"/>
        <v>285105</v>
      </c>
      <c r="B211" s="10">
        <f t="shared" si="10"/>
        <v>163.29599999999999</v>
      </c>
      <c r="C211" s="77" t="s">
        <v>4899</v>
      </c>
      <c r="D211" s="191" t="str">
        <f t="shared" si="11"/>
        <v>StrongLumio kabel 230V + nožní vypínač, 3,5m 2,5A</v>
      </c>
      <c r="E211" s="77" t="s">
        <v>1438</v>
      </c>
      <c r="F211" s="77" t="s">
        <v>1439</v>
      </c>
      <c r="G211" s="77" t="s">
        <v>1441</v>
      </c>
      <c r="H211" s="77" t="s">
        <v>1440</v>
      </c>
      <c r="I211" s="77" t="s">
        <v>795</v>
      </c>
      <c r="J211" s="90">
        <v>10</v>
      </c>
      <c r="K211" s="91">
        <v>1</v>
      </c>
      <c r="L211" s="77" t="s">
        <v>227</v>
      </c>
      <c r="M211" s="78">
        <v>163.29599999999999</v>
      </c>
      <c r="N211" s="79">
        <v>7.6517999999999997</v>
      </c>
      <c r="O211" s="79">
        <v>22.864090000000001</v>
      </c>
      <c r="P211" s="79">
        <v>2697.9172199999998</v>
      </c>
      <c r="Q211" s="77"/>
      <c r="R211" s="77"/>
      <c r="S211" s="77"/>
      <c r="T211" s="77"/>
      <c r="U211" s="77"/>
      <c r="V211" s="87"/>
      <c r="W211" s="87"/>
      <c r="X211" s="87"/>
      <c r="Y211" s="77"/>
      <c r="Z211" s="88"/>
      <c r="AA211" s="35"/>
      <c r="AB211" s="35"/>
    </row>
    <row r="212" spans="1:28" x14ac:dyDescent="0.25">
      <c r="A212" s="68" t="str">
        <f t="shared" si="9"/>
        <v>342536</v>
      </c>
      <c r="B212" s="10">
        <f t="shared" si="10"/>
        <v>47.272680000000001</v>
      </c>
      <c r="C212" s="77" t="s">
        <v>4900</v>
      </c>
      <c r="D212" s="191" t="str">
        <f t="shared" si="11"/>
        <v>StrongLumio kabel propojovací 1m LED 10mm, zacvakávací Mini</v>
      </c>
      <c r="E212" s="77" t="s">
        <v>1442</v>
      </c>
      <c r="F212" s="77" t="s">
        <v>1443</v>
      </c>
      <c r="G212" s="77" t="s">
        <v>1445</v>
      </c>
      <c r="H212" s="77" t="s">
        <v>1444</v>
      </c>
      <c r="I212" s="77" t="s">
        <v>795</v>
      </c>
      <c r="J212" s="90">
        <v>1</v>
      </c>
      <c r="K212" s="91">
        <v>1</v>
      </c>
      <c r="L212" s="77" t="s">
        <v>160</v>
      </c>
      <c r="M212" s="78">
        <v>47.272680000000001</v>
      </c>
      <c r="N212" s="79">
        <v>2.1112600000000001</v>
      </c>
      <c r="O212" s="79">
        <v>6.8622800000000002</v>
      </c>
      <c r="P212" s="79">
        <v>732.15409</v>
      </c>
      <c r="Q212" s="77"/>
      <c r="R212" s="77"/>
      <c r="S212" s="77"/>
      <c r="T212" s="77"/>
      <c r="U212" s="77"/>
      <c r="V212" s="87"/>
      <c r="W212" s="87"/>
      <c r="X212" s="87"/>
      <c r="Y212" s="77"/>
      <c r="Z212" s="88"/>
      <c r="AA212" s="35"/>
      <c r="AB212" s="35"/>
    </row>
    <row r="213" spans="1:28" x14ac:dyDescent="0.25">
      <c r="A213" s="68" t="str">
        <f t="shared" si="9"/>
        <v>342535</v>
      </c>
      <c r="B213" s="10">
        <f t="shared" si="10"/>
        <v>47.272680000000001</v>
      </c>
      <c r="C213" s="77" t="s">
        <v>4901</v>
      </c>
      <c r="D213" s="191" t="str">
        <f t="shared" si="11"/>
        <v>StrongLumio kabel propojovací 1m LED 8mm, zacvakávací Mini</v>
      </c>
      <c r="E213" s="77" t="s">
        <v>1446</v>
      </c>
      <c r="F213" s="77" t="s">
        <v>1447</v>
      </c>
      <c r="G213" s="77" t="s">
        <v>1449</v>
      </c>
      <c r="H213" s="77" t="s">
        <v>1448</v>
      </c>
      <c r="I213" s="77" t="s">
        <v>795</v>
      </c>
      <c r="J213" s="90">
        <v>1</v>
      </c>
      <c r="K213" s="91">
        <v>1</v>
      </c>
      <c r="L213" s="77" t="s">
        <v>160</v>
      </c>
      <c r="M213" s="78">
        <v>47.272680000000001</v>
      </c>
      <c r="N213" s="79">
        <v>2.1112600000000001</v>
      </c>
      <c r="O213" s="79">
        <v>6.4641700000000002</v>
      </c>
      <c r="P213" s="79">
        <v>732.15409</v>
      </c>
      <c r="Q213" s="77"/>
      <c r="R213" s="77"/>
      <c r="S213" s="77"/>
      <c r="T213" s="77"/>
      <c r="U213" s="77"/>
      <c r="V213" s="87"/>
      <c r="W213" s="87"/>
      <c r="X213" s="87"/>
      <c r="Y213" s="77"/>
      <c r="Z213" s="88"/>
      <c r="AA213" s="35"/>
      <c r="AB213" s="35"/>
    </row>
    <row r="214" spans="1:28" x14ac:dyDescent="0.25">
      <c r="A214" s="68" t="str">
        <f t="shared" si="9"/>
        <v>342527</v>
      </c>
      <c r="B214" s="10">
        <f t="shared" si="10"/>
        <v>8.0121599999999997</v>
      </c>
      <c r="C214" s="77" t="s">
        <v>4902</v>
      </c>
      <c r="D214" s="191" t="str">
        <f t="shared" si="11"/>
        <v>StrongLumio koncovka hranatá k profilu Belcore šedá</v>
      </c>
      <c r="E214" s="77" t="s">
        <v>1450</v>
      </c>
      <c r="F214" s="77" t="s">
        <v>1451</v>
      </c>
      <c r="G214" s="77" t="s">
        <v>1453</v>
      </c>
      <c r="H214" s="77" t="s">
        <v>1452</v>
      </c>
      <c r="I214" s="77" t="s">
        <v>795</v>
      </c>
      <c r="J214" s="90">
        <v>100</v>
      </c>
      <c r="K214" s="91">
        <v>1</v>
      </c>
      <c r="L214" s="77" t="s">
        <v>227</v>
      </c>
      <c r="M214" s="78">
        <v>8.0121599999999997</v>
      </c>
      <c r="N214" s="79">
        <v>0.31252000000000002</v>
      </c>
      <c r="O214" s="79">
        <v>0.86783999999999994</v>
      </c>
      <c r="P214" s="79">
        <v>113.80907999999999</v>
      </c>
      <c r="Q214" s="77"/>
      <c r="R214" s="77"/>
      <c r="S214" s="77"/>
      <c r="T214" s="77"/>
      <c r="U214" s="77"/>
      <c r="V214" s="87"/>
      <c r="W214" s="87"/>
      <c r="X214" s="87"/>
      <c r="Y214" s="77"/>
      <c r="Z214" s="88"/>
      <c r="AA214" s="35"/>
      <c r="AB214" s="35"/>
    </row>
    <row r="215" spans="1:28" x14ac:dyDescent="0.25">
      <c r="A215" s="68" t="str">
        <f t="shared" si="9"/>
        <v>405213</v>
      </c>
      <c r="B215" s="10">
        <f t="shared" si="10"/>
        <v>8.0121599999999997</v>
      </c>
      <c r="C215" s="77" t="s">
        <v>4903</v>
      </c>
      <c r="D215" s="191" t="str">
        <f t="shared" si="11"/>
        <v>StrongLumio koncovka k profilu Arbona šedá</v>
      </c>
      <c r="E215" s="77" t="s">
        <v>1454</v>
      </c>
      <c r="F215" s="77" t="s">
        <v>1455</v>
      </c>
      <c r="G215" s="77" t="s">
        <v>1457</v>
      </c>
      <c r="H215" s="77" t="s">
        <v>1456</v>
      </c>
      <c r="I215" s="77" t="s">
        <v>795</v>
      </c>
      <c r="J215" s="90">
        <v>100</v>
      </c>
      <c r="K215" s="91">
        <v>1</v>
      </c>
      <c r="L215" s="77" t="s">
        <v>227</v>
      </c>
      <c r="M215" s="78">
        <v>8.0121599999999997</v>
      </c>
      <c r="N215" s="79">
        <v>0.31252000000000002</v>
      </c>
      <c r="O215" s="79">
        <v>0.81152999999999997</v>
      </c>
      <c r="P215" s="79">
        <v>113.80907999999999</v>
      </c>
      <c r="Q215" s="77"/>
      <c r="R215" s="77"/>
      <c r="S215" s="77"/>
      <c r="T215" s="77"/>
      <c r="U215" s="77"/>
      <c r="V215" s="87"/>
      <c r="W215" s="87"/>
      <c r="X215" s="87"/>
      <c r="Y215" s="77"/>
      <c r="Z215" s="88"/>
      <c r="AA215" s="35"/>
      <c r="AB215" s="35"/>
    </row>
    <row r="216" spans="1:28" x14ac:dyDescent="0.25">
      <c r="A216" s="68" t="str">
        <f t="shared" si="9"/>
        <v>342532</v>
      </c>
      <c r="B216" s="10">
        <f t="shared" si="10"/>
        <v>10.0152</v>
      </c>
      <c r="C216" s="77" t="s">
        <v>4904</v>
      </c>
      <c r="D216" s="191" t="str">
        <f t="shared" si="11"/>
        <v>StrongLumio koncovka k profilu Fanto šedá</v>
      </c>
      <c r="E216" s="77" t="s">
        <v>1458</v>
      </c>
      <c r="F216" s="77" t="s">
        <v>1459</v>
      </c>
      <c r="G216" s="77" t="s">
        <v>1461</v>
      </c>
      <c r="H216" s="77" t="s">
        <v>1460</v>
      </c>
      <c r="I216" s="77" t="s">
        <v>795</v>
      </c>
      <c r="J216" s="90">
        <v>100</v>
      </c>
      <c r="K216" s="91">
        <v>1</v>
      </c>
      <c r="L216" s="77" t="s">
        <v>227</v>
      </c>
      <c r="M216" s="78">
        <v>10.0152</v>
      </c>
      <c r="N216" s="79">
        <v>0.39063999999999999</v>
      </c>
      <c r="O216" s="79">
        <v>1.0144200000000001</v>
      </c>
      <c r="P216" s="79">
        <v>142.26134999999999</v>
      </c>
      <c r="Q216" s="77"/>
      <c r="R216" s="77"/>
      <c r="S216" s="77"/>
      <c r="T216" s="77"/>
      <c r="U216" s="77"/>
      <c r="V216" s="87"/>
      <c r="W216" s="87"/>
      <c r="X216" s="87"/>
      <c r="Y216" s="77"/>
      <c r="Z216" s="88"/>
      <c r="AA216" s="35"/>
      <c r="AB216" s="35"/>
    </row>
    <row r="217" spans="1:28" x14ac:dyDescent="0.25">
      <c r="A217" s="68" t="str">
        <f t="shared" si="9"/>
        <v>230845</v>
      </c>
      <c r="B217" s="10">
        <f t="shared" si="10"/>
        <v>16.2288</v>
      </c>
      <c r="C217" s="77" t="s">
        <v>4905</v>
      </c>
      <c r="D217" s="191" t="str">
        <f t="shared" si="11"/>
        <v>StrongLumio koncovka k profilu Mikro 10 (pár)</v>
      </c>
      <c r="E217" s="77" t="s">
        <v>1462</v>
      </c>
      <c r="F217" s="77" t="s">
        <v>1462</v>
      </c>
      <c r="G217" s="77" t="s">
        <v>1465</v>
      </c>
      <c r="H217" s="77" t="s">
        <v>1464</v>
      </c>
      <c r="I217" s="77" t="s">
        <v>1463</v>
      </c>
      <c r="J217" s="90">
        <v>10</v>
      </c>
      <c r="K217" s="91">
        <v>1</v>
      </c>
      <c r="L217" s="77" t="s">
        <v>6565</v>
      </c>
      <c r="M217" s="78">
        <v>16.2288</v>
      </c>
      <c r="N217" s="79">
        <v>0.63973999999999998</v>
      </c>
      <c r="O217" s="79">
        <v>1.60528</v>
      </c>
      <c r="P217" s="79">
        <v>229.99999</v>
      </c>
      <c r="Q217" s="77"/>
      <c r="R217" s="77"/>
      <c r="S217" s="77"/>
      <c r="T217" s="77"/>
      <c r="U217" s="77"/>
      <c r="V217" s="87"/>
      <c r="W217" s="87"/>
      <c r="X217" s="87"/>
      <c r="Y217" s="77"/>
      <c r="Z217" s="88"/>
      <c r="AA217" s="35"/>
      <c r="AB217" s="35"/>
    </row>
    <row r="218" spans="1:28" x14ac:dyDescent="0.25">
      <c r="A218" s="68" t="str">
        <f t="shared" si="9"/>
        <v>342523</v>
      </c>
      <c r="B218" s="10">
        <f t="shared" si="10"/>
        <v>8.0121599999999997</v>
      </c>
      <c r="C218" s="77" t="s">
        <v>4906</v>
      </c>
      <c r="D218" s="191" t="str">
        <f t="shared" si="11"/>
        <v>StrongLumio koncovka k profilu Ormio, bez otvoru</v>
      </c>
      <c r="E218" s="77" t="s">
        <v>1466</v>
      </c>
      <c r="F218" s="77" t="s">
        <v>1466</v>
      </c>
      <c r="G218" s="77" t="s">
        <v>1468</v>
      </c>
      <c r="H218" s="77" t="s">
        <v>1467</v>
      </c>
      <c r="I218" s="77" t="s">
        <v>795</v>
      </c>
      <c r="J218" s="90">
        <v>100</v>
      </c>
      <c r="K218" s="91">
        <v>1</v>
      </c>
      <c r="L218" s="77" t="s">
        <v>227</v>
      </c>
      <c r="M218" s="78">
        <v>8.0121599999999997</v>
      </c>
      <c r="N218" s="79">
        <v>0.31252000000000002</v>
      </c>
      <c r="O218" s="79">
        <v>0.84333999999999998</v>
      </c>
      <c r="P218" s="79">
        <v>113.80907999999999</v>
      </c>
      <c r="Q218" s="77"/>
      <c r="R218" s="77"/>
      <c r="S218" s="77"/>
      <c r="T218" s="77"/>
      <c r="U218" s="77"/>
      <c r="V218" s="87"/>
      <c r="W218" s="87"/>
      <c r="X218" s="87"/>
      <c r="Y218" s="77"/>
      <c r="Z218" s="88"/>
      <c r="AA218" s="35"/>
      <c r="AB218" s="35"/>
    </row>
    <row r="219" spans="1:28" x14ac:dyDescent="0.25">
      <c r="A219" s="68" t="str">
        <f t="shared" si="9"/>
        <v>342528</v>
      </c>
      <c r="B219" s="10">
        <f t="shared" si="10"/>
        <v>8.0121599999999997</v>
      </c>
      <c r="C219" s="77" t="s">
        <v>4907</v>
      </c>
      <c r="D219" s="191" t="str">
        <f t="shared" si="11"/>
        <v>StrongLumio koncovka kulatá k profilu Belcore šedá</v>
      </c>
      <c r="E219" s="77" t="s">
        <v>1469</v>
      </c>
      <c r="F219" s="77" t="s">
        <v>1470</v>
      </c>
      <c r="G219" s="77" t="s">
        <v>1472</v>
      </c>
      <c r="H219" s="77" t="s">
        <v>1471</v>
      </c>
      <c r="I219" s="77" t="s">
        <v>795</v>
      </c>
      <c r="J219" s="90">
        <v>100</v>
      </c>
      <c r="K219" s="91">
        <v>1</v>
      </c>
      <c r="L219" s="77" t="s">
        <v>227</v>
      </c>
      <c r="M219" s="78">
        <v>8.0121599999999997</v>
      </c>
      <c r="N219" s="79">
        <v>0.31252000000000002</v>
      </c>
      <c r="O219" s="79">
        <v>0.86248000000000002</v>
      </c>
      <c r="P219" s="79">
        <v>113.80907999999999</v>
      </c>
      <c r="Q219" s="77"/>
      <c r="R219" s="77"/>
      <c r="S219" s="77"/>
      <c r="T219" s="77"/>
      <c r="U219" s="77"/>
      <c r="V219" s="87"/>
      <c r="W219" s="87"/>
      <c r="X219" s="87"/>
      <c r="Y219" s="77"/>
      <c r="Z219" s="88"/>
      <c r="AA219" s="35"/>
      <c r="AB219" s="35"/>
    </row>
    <row r="220" spans="1:28" x14ac:dyDescent="0.25">
      <c r="A220" s="68" t="str">
        <f t="shared" si="9"/>
        <v>405477</v>
      </c>
      <c r="B220" s="10">
        <f t="shared" si="10"/>
        <v>3.1984400000000002</v>
      </c>
      <c r="C220" s="77" t="s">
        <v>4908</v>
      </c>
      <c r="D220" s="191" t="str">
        <f t="shared" si="11"/>
        <v>StrongLumio koncovka pro LED pásek neon, bez otvoru</v>
      </c>
      <c r="E220" s="77" t="s">
        <v>1473</v>
      </c>
      <c r="F220" s="77" t="s">
        <v>1474</v>
      </c>
      <c r="G220" s="77" t="s">
        <v>1476</v>
      </c>
      <c r="H220" s="77" t="s">
        <v>1475</v>
      </c>
      <c r="I220" s="77" t="s">
        <v>795</v>
      </c>
      <c r="J220" s="90">
        <v>100</v>
      </c>
      <c r="K220" s="91">
        <v>1</v>
      </c>
      <c r="L220" s="77" t="s">
        <v>227</v>
      </c>
      <c r="M220" s="78">
        <v>3.1984400000000002</v>
      </c>
      <c r="N220" s="79">
        <v>0.13339000000000001</v>
      </c>
      <c r="O220" s="79">
        <v>2.00231</v>
      </c>
      <c r="P220" s="79">
        <v>231.68280999999999</v>
      </c>
      <c r="Q220" s="77"/>
      <c r="R220" s="77"/>
      <c r="S220" s="77"/>
      <c r="T220" s="77"/>
      <c r="U220" s="77"/>
      <c r="V220" s="87"/>
      <c r="W220" s="87"/>
      <c r="X220" s="87"/>
      <c r="Y220" s="77"/>
      <c r="Z220" s="88"/>
      <c r="AA220" s="35"/>
      <c r="AB220" s="35"/>
    </row>
    <row r="221" spans="1:28" x14ac:dyDescent="0.25">
      <c r="A221" s="68" t="str">
        <f t="shared" si="9"/>
        <v>405478</v>
      </c>
      <c r="B221" s="10">
        <f t="shared" si="10"/>
        <v>6.39689</v>
      </c>
      <c r="C221" s="77" t="s">
        <v>4909</v>
      </c>
      <c r="D221" s="191" t="str">
        <f t="shared" si="11"/>
        <v>StrongLumio koncovka pro LED pásek neon, s otvorem</v>
      </c>
      <c r="E221" s="77" t="s">
        <v>1477</v>
      </c>
      <c r="F221" s="77" t="s">
        <v>1478</v>
      </c>
      <c r="G221" s="77" t="s">
        <v>1480</v>
      </c>
      <c r="H221" s="77" t="s">
        <v>1479</v>
      </c>
      <c r="I221" s="77" t="s">
        <v>795</v>
      </c>
      <c r="J221" s="90">
        <v>100</v>
      </c>
      <c r="K221" s="91">
        <v>1</v>
      </c>
      <c r="L221" s="77" t="s">
        <v>227</v>
      </c>
      <c r="M221" s="78">
        <v>6.39689</v>
      </c>
      <c r="N221" s="79">
        <v>0.26673000000000002</v>
      </c>
      <c r="O221" s="79">
        <v>1.9954000000000001</v>
      </c>
      <c r="P221" s="79">
        <v>231.68280999999999</v>
      </c>
      <c r="Q221" s="77"/>
      <c r="R221" s="77"/>
      <c r="S221" s="77"/>
      <c r="T221" s="77"/>
      <c r="U221" s="77"/>
      <c r="V221" s="87"/>
      <c r="W221" s="87"/>
      <c r="X221" s="87"/>
      <c r="Y221" s="77"/>
      <c r="Z221" s="88"/>
      <c r="AA221" s="35"/>
      <c r="AB221" s="35"/>
    </row>
    <row r="222" spans="1:28" x14ac:dyDescent="0.25">
      <c r="A222" s="68" t="str">
        <f t="shared" ref="A222:A285" si="12">C222</f>
        <v>546652</v>
      </c>
      <c r="B222" s="10">
        <f t="shared" si="10"/>
        <v>9.6850100000000001</v>
      </c>
      <c r="C222" s="77" t="s">
        <v>4910</v>
      </c>
      <c r="D222" s="191" t="str">
        <f t="shared" si="11"/>
        <v>StrongLumio koncovka pro neon 4x10 "T", bez otvoru</v>
      </c>
      <c r="E222" s="77" t="s">
        <v>1481</v>
      </c>
      <c r="F222" s="77" t="s">
        <v>1482</v>
      </c>
      <c r="G222" s="77" t="s">
        <v>6429</v>
      </c>
      <c r="H222" s="77" t="s">
        <v>1483</v>
      </c>
      <c r="I222" s="77" t="s">
        <v>795</v>
      </c>
      <c r="J222" s="90">
        <v>500</v>
      </c>
      <c r="K222" s="91">
        <v>1</v>
      </c>
      <c r="L222" s="77" t="s">
        <v>227</v>
      </c>
      <c r="M222" s="78">
        <v>9.6850100000000001</v>
      </c>
      <c r="N222" s="79">
        <v>0.40515000000000001</v>
      </c>
      <c r="O222" s="79">
        <v>1.1331599999999999</v>
      </c>
      <c r="P222" s="79">
        <v>129.27600000000001</v>
      </c>
      <c r="Q222" s="77"/>
      <c r="R222" s="77"/>
      <c r="S222" s="77"/>
      <c r="T222" s="77"/>
      <c r="U222" s="77"/>
      <c r="V222" s="87"/>
      <c r="W222" s="87"/>
      <c r="X222" s="87"/>
      <c r="Y222" s="77"/>
      <c r="Z222" s="88"/>
      <c r="AA222" s="35"/>
      <c r="AB222" s="35"/>
    </row>
    <row r="223" spans="1:28" x14ac:dyDescent="0.25">
      <c r="A223" s="68" t="str">
        <f t="shared" si="12"/>
        <v>546651</v>
      </c>
      <c r="B223" s="10">
        <f t="shared" si="10"/>
        <v>13.989459999999999</v>
      </c>
      <c r="C223" s="77" t="s">
        <v>4911</v>
      </c>
      <c r="D223" s="191" t="str">
        <f t="shared" si="11"/>
        <v>StrongLumio koncovka pro neon 4x10 "T", s otvorem</v>
      </c>
      <c r="E223" s="77" t="s">
        <v>1484</v>
      </c>
      <c r="F223" s="77" t="s">
        <v>1485</v>
      </c>
      <c r="G223" s="77" t="s">
        <v>6430</v>
      </c>
      <c r="H223" s="77" t="s">
        <v>1486</v>
      </c>
      <c r="I223" s="77" t="s">
        <v>795</v>
      </c>
      <c r="J223" s="90">
        <v>100</v>
      </c>
      <c r="K223" s="91">
        <v>1</v>
      </c>
      <c r="L223" s="77" t="s">
        <v>227</v>
      </c>
      <c r="M223" s="78">
        <v>13.989459999999999</v>
      </c>
      <c r="N223" s="79">
        <v>0.58523000000000003</v>
      </c>
      <c r="O223" s="79">
        <v>1.6367799999999999</v>
      </c>
      <c r="P223" s="79">
        <v>186.732</v>
      </c>
      <c r="Q223" s="77"/>
      <c r="R223" s="77"/>
      <c r="S223" s="77"/>
      <c r="T223" s="77"/>
      <c r="U223" s="77"/>
      <c r="V223" s="87"/>
      <c r="W223" s="87"/>
      <c r="X223" s="87"/>
      <c r="Y223" s="77"/>
      <c r="Z223" s="88"/>
      <c r="AA223" s="35"/>
      <c r="AB223" s="35"/>
    </row>
    <row r="224" spans="1:28" x14ac:dyDescent="0.25">
      <c r="A224" s="68" t="str">
        <f t="shared" si="12"/>
        <v>546628</v>
      </c>
      <c r="B224" s="10">
        <f t="shared" ref="B224:B287" si="13">IF($B$1=1,M224,IF($B$1=2,N224,IF($B$1=3,O224,IF($B$1=4,P224))))</f>
        <v>16.141680000000001</v>
      </c>
      <c r="C224" s="77" t="s">
        <v>4912</v>
      </c>
      <c r="D224" s="191" t="str">
        <f t="shared" si="11"/>
        <v>StrongLumio koncovka pro neon 6x12 bez otvoru</v>
      </c>
      <c r="E224" s="77" t="s">
        <v>1487</v>
      </c>
      <c r="F224" s="77" t="s">
        <v>1488</v>
      </c>
      <c r="G224" s="77" t="s">
        <v>6431</v>
      </c>
      <c r="H224" s="77" t="s">
        <v>1489</v>
      </c>
      <c r="I224" s="77" t="s">
        <v>795</v>
      </c>
      <c r="J224" s="90">
        <v>100</v>
      </c>
      <c r="K224" s="91">
        <v>1</v>
      </c>
      <c r="L224" s="77" t="s">
        <v>227</v>
      </c>
      <c r="M224" s="78">
        <v>16.141680000000001</v>
      </c>
      <c r="N224" s="79">
        <v>0.67523</v>
      </c>
      <c r="O224" s="79">
        <v>1.88859</v>
      </c>
      <c r="P224" s="79">
        <v>215.46</v>
      </c>
      <c r="Q224" s="77"/>
      <c r="R224" s="77"/>
      <c r="S224" s="77"/>
      <c r="T224" s="77"/>
      <c r="U224" s="77"/>
      <c r="V224" s="87"/>
      <c r="W224" s="87"/>
      <c r="X224" s="87"/>
      <c r="Y224" s="77"/>
      <c r="Z224" s="88"/>
      <c r="AA224" s="35"/>
      <c r="AB224" s="35"/>
    </row>
    <row r="225" spans="1:28" x14ac:dyDescent="0.25">
      <c r="A225" s="68" t="str">
        <f t="shared" si="12"/>
        <v>406054</v>
      </c>
      <c r="B225" s="10">
        <f t="shared" si="13"/>
        <v>17.651789999999998</v>
      </c>
      <c r="C225" s="77" t="s">
        <v>4913</v>
      </c>
      <c r="D225" s="191" t="str">
        <f t="shared" si="11"/>
        <v>StrongLumio koncovka pro silikonový profil 8x16mm, bez otvoru</v>
      </c>
      <c r="E225" s="77" t="s">
        <v>1490</v>
      </c>
      <c r="F225" s="77" t="s">
        <v>1491</v>
      </c>
      <c r="G225" s="77" t="s">
        <v>1493</v>
      </c>
      <c r="H225" s="77" t="s">
        <v>1492</v>
      </c>
      <c r="I225" s="77" t="s">
        <v>795</v>
      </c>
      <c r="J225" s="90">
        <v>100</v>
      </c>
      <c r="K225" s="91">
        <v>1</v>
      </c>
      <c r="L225" s="77" t="s">
        <v>227</v>
      </c>
      <c r="M225" s="78">
        <v>17.651789999999998</v>
      </c>
      <c r="N225" s="79">
        <v>0.71986000000000006</v>
      </c>
      <c r="O225" s="79">
        <v>1.9954000000000001</v>
      </c>
      <c r="P225" s="79">
        <v>231.68280999999999</v>
      </c>
      <c r="Q225" s="77"/>
      <c r="R225" s="77"/>
      <c r="S225" s="77"/>
      <c r="T225" s="77"/>
      <c r="U225" s="77"/>
      <c r="V225" s="87"/>
      <c r="W225" s="87"/>
      <c r="X225" s="87"/>
      <c r="Y225" s="77"/>
      <c r="Z225" s="88"/>
      <c r="AA225" s="35"/>
      <c r="AB225" s="35"/>
    </row>
    <row r="226" spans="1:28" x14ac:dyDescent="0.25">
      <c r="A226" s="68" t="str">
        <f t="shared" si="12"/>
        <v>406055</v>
      </c>
      <c r="B226" s="10">
        <f t="shared" si="13"/>
        <v>17.651789999999998</v>
      </c>
      <c r="C226" s="77" t="s">
        <v>4914</v>
      </c>
      <c r="D226" s="191" t="str">
        <f t="shared" si="11"/>
        <v>StrongLumio koncovka pro silikonový profil 8x16mm, s otvorem</v>
      </c>
      <c r="E226" s="77" t="s">
        <v>1494</v>
      </c>
      <c r="F226" s="77" t="s">
        <v>1495</v>
      </c>
      <c r="G226" s="77" t="s">
        <v>1497</v>
      </c>
      <c r="H226" s="77" t="s">
        <v>1496</v>
      </c>
      <c r="I226" s="77" t="s">
        <v>795</v>
      </c>
      <c r="J226" s="90">
        <v>100</v>
      </c>
      <c r="K226" s="91">
        <v>1</v>
      </c>
      <c r="L226" s="77" t="s">
        <v>227</v>
      </c>
      <c r="M226" s="78">
        <v>17.651789999999998</v>
      </c>
      <c r="N226" s="79">
        <v>0.71986000000000006</v>
      </c>
      <c r="O226" s="79">
        <v>1.9951399999999999</v>
      </c>
      <c r="P226" s="79">
        <v>231.68280999999999</v>
      </c>
      <c r="Q226" s="77"/>
      <c r="R226" s="77"/>
      <c r="S226" s="77"/>
      <c r="T226" s="77"/>
      <c r="U226" s="77"/>
      <c r="V226" s="87"/>
      <c r="W226" s="87"/>
      <c r="X226" s="87"/>
      <c r="Y226" s="77"/>
      <c r="Z226" s="88"/>
      <c r="AA226" s="35"/>
      <c r="AB226" s="35"/>
    </row>
    <row r="227" spans="1:28" x14ac:dyDescent="0.25">
      <c r="A227" s="68" t="str">
        <f t="shared" si="12"/>
        <v>343064</v>
      </c>
      <c r="B227" s="10">
        <f t="shared" si="13"/>
        <v>17.243099999999998</v>
      </c>
      <c r="C227" s="77" t="s">
        <v>4915</v>
      </c>
      <c r="D227" s="191" t="str">
        <f t="shared" si="11"/>
        <v>StrongLumio koncovky k profilu Arc 12 půlkulaté, šedá (pár)</v>
      </c>
      <c r="E227" s="77" t="s">
        <v>1498</v>
      </c>
      <c r="F227" s="77" t="s">
        <v>1499</v>
      </c>
      <c r="G227" s="77" t="s">
        <v>1501</v>
      </c>
      <c r="H227" s="77" t="s">
        <v>1500</v>
      </c>
      <c r="I227" s="77" t="s">
        <v>1463</v>
      </c>
      <c r="J227" s="90">
        <v>10</v>
      </c>
      <c r="K227" s="91">
        <v>1</v>
      </c>
      <c r="L227" s="77" t="s">
        <v>227</v>
      </c>
      <c r="M227" s="78">
        <v>17.243099999999998</v>
      </c>
      <c r="N227" s="79">
        <v>0.67972999999999995</v>
      </c>
      <c r="O227" s="79">
        <v>1.7461899999999999</v>
      </c>
      <c r="P227" s="79">
        <v>244.37501</v>
      </c>
      <c r="Q227" s="77"/>
      <c r="R227" s="77"/>
      <c r="S227" s="77"/>
      <c r="T227" s="77"/>
      <c r="U227" s="77"/>
      <c r="V227" s="87"/>
      <c r="W227" s="87"/>
      <c r="X227" s="87"/>
      <c r="Y227" s="77"/>
      <c r="Z227" s="88"/>
      <c r="AA227" s="35"/>
      <c r="AB227" s="35"/>
    </row>
    <row r="228" spans="1:28" x14ac:dyDescent="0.25">
      <c r="A228" s="68" t="str">
        <f t="shared" si="12"/>
        <v>354319</v>
      </c>
      <c r="B228" s="10">
        <f t="shared" si="13"/>
        <v>17.243099999999998</v>
      </c>
      <c r="C228" s="77" t="s">
        <v>4916</v>
      </c>
      <c r="D228" s="191" t="str">
        <f t="shared" si="11"/>
        <v>StrongLumio koncovky k profilu Arc rovné, šedá (pár)</v>
      </c>
      <c r="E228" s="77" t="s">
        <v>1502</v>
      </c>
      <c r="F228" s="77" t="s">
        <v>1502</v>
      </c>
      <c r="G228" s="77" t="s">
        <v>1504</v>
      </c>
      <c r="H228" s="77" t="s">
        <v>1503</v>
      </c>
      <c r="I228" s="77" t="s">
        <v>1463</v>
      </c>
      <c r="J228" s="90">
        <v>10</v>
      </c>
      <c r="K228" s="91">
        <v>10</v>
      </c>
      <c r="L228" s="77" t="s">
        <v>6565</v>
      </c>
      <c r="M228" s="78">
        <v>17.243099999999998</v>
      </c>
      <c r="N228" s="79">
        <v>0.67972999999999995</v>
      </c>
      <c r="O228" s="79">
        <v>1.7882800000000001</v>
      </c>
      <c r="P228" s="79">
        <v>244.37501</v>
      </c>
      <c r="Q228" s="77"/>
      <c r="R228" s="77"/>
      <c r="S228" s="77"/>
      <c r="T228" s="77"/>
      <c r="U228" s="77"/>
      <c r="V228" s="87"/>
      <c r="W228" s="87"/>
      <c r="X228" s="87"/>
      <c r="Y228" s="77"/>
      <c r="Z228" s="88"/>
      <c r="AA228" s="35"/>
      <c r="AB228" s="35"/>
    </row>
    <row r="229" spans="1:28" x14ac:dyDescent="0.25">
      <c r="A229" s="68" t="str">
        <f t="shared" si="12"/>
        <v>285039</v>
      </c>
      <c r="B229" s="10">
        <f t="shared" si="13"/>
        <v>16.735949999999999</v>
      </c>
      <c r="C229" s="77" t="s">
        <v>286</v>
      </c>
      <c r="D229" s="191" t="str">
        <f t="shared" si="11"/>
        <v>StrongLumio koncovky k profilu Begtin 12, bílá (pár)</v>
      </c>
      <c r="E229" s="77" t="s">
        <v>482</v>
      </c>
      <c r="F229" s="77" t="s">
        <v>483</v>
      </c>
      <c r="G229" s="77" t="s">
        <v>484</v>
      </c>
      <c r="H229" s="77" t="s">
        <v>485</v>
      </c>
      <c r="I229" s="77" t="s">
        <v>1463</v>
      </c>
      <c r="J229" s="90">
        <v>10</v>
      </c>
      <c r="K229" s="91">
        <v>1</v>
      </c>
      <c r="L229" s="77" t="s">
        <v>227</v>
      </c>
      <c r="M229" s="78">
        <v>16.735949999999999</v>
      </c>
      <c r="N229" s="79">
        <v>0.65973999999999999</v>
      </c>
      <c r="O229" s="79">
        <v>1.75512</v>
      </c>
      <c r="P229" s="79">
        <v>237.1875</v>
      </c>
      <c r="Q229" s="77"/>
      <c r="R229" s="77"/>
      <c r="S229" s="77"/>
      <c r="T229" s="77"/>
      <c r="U229" s="77"/>
      <c r="V229" s="87"/>
      <c r="W229" s="87"/>
      <c r="X229" s="87"/>
      <c r="Y229" s="77"/>
      <c r="Z229" s="88"/>
      <c r="AA229" s="35"/>
      <c r="AB229" s="35"/>
    </row>
    <row r="230" spans="1:28" x14ac:dyDescent="0.25">
      <c r="A230" s="68" t="str">
        <f t="shared" si="12"/>
        <v>285040</v>
      </c>
      <c r="B230" s="10">
        <f t="shared" si="13"/>
        <v>16.735949999999999</v>
      </c>
      <c r="C230" s="77" t="s">
        <v>304</v>
      </c>
      <c r="D230" s="191" t="str">
        <f t="shared" si="11"/>
        <v>StrongLumio koncovky k profilu Begtin 12, černá (pár)</v>
      </c>
      <c r="E230" s="77" t="s">
        <v>145</v>
      </c>
      <c r="F230" s="77" t="s">
        <v>490</v>
      </c>
      <c r="G230" s="77" t="s">
        <v>491</v>
      </c>
      <c r="H230" s="77" t="s">
        <v>492</v>
      </c>
      <c r="I230" s="77" t="s">
        <v>1463</v>
      </c>
      <c r="J230" s="90">
        <v>10</v>
      </c>
      <c r="K230" s="91">
        <v>1</v>
      </c>
      <c r="L230" s="77" t="s">
        <v>227</v>
      </c>
      <c r="M230" s="78">
        <v>16.735949999999999</v>
      </c>
      <c r="N230" s="79">
        <v>0.65973999999999999</v>
      </c>
      <c r="O230" s="79">
        <v>1.7481899999999999</v>
      </c>
      <c r="P230" s="79">
        <v>237.1875</v>
      </c>
      <c r="Q230" s="77"/>
      <c r="R230" s="77"/>
      <c r="S230" s="77"/>
      <c r="T230" s="77"/>
      <c r="U230" s="77"/>
      <c r="V230" s="87"/>
      <c r="W230" s="87"/>
      <c r="X230" s="87"/>
      <c r="Y230" s="77"/>
      <c r="Z230" s="88"/>
      <c r="AA230" s="35"/>
      <c r="AB230" s="35"/>
    </row>
    <row r="231" spans="1:28" x14ac:dyDescent="0.25">
      <c r="A231" s="68" t="str">
        <f t="shared" si="12"/>
        <v>285038</v>
      </c>
      <c r="B231" s="10">
        <f t="shared" si="13"/>
        <v>16.735949999999999</v>
      </c>
      <c r="C231" s="77" t="s">
        <v>324</v>
      </c>
      <c r="D231" s="191" t="str">
        <f t="shared" si="11"/>
        <v>StrongLumio koncovky k profilu Begtin 12, šedá (pár)</v>
      </c>
      <c r="E231" s="77" t="s">
        <v>497</v>
      </c>
      <c r="F231" s="77" t="s">
        <v>497</v>
      </c>
      <c r="G231" s="77" t="s">
        <v>498</v>
      </c>
      <c r="H231" s="77" t="s">
        <v>499</v>
      </c>
      <c r="I231" s="77" t="s">
        <v>1463</v>
      </c>
      <c r="J231" s="90">
        <v>10</v>
      </c>
      <c r="K231" s="91">
        <v>1</v>
      </c>
      <c r="L231" s="77" t="s">
        <v>227</v>
      </c>
      <c r="M231" s="78">
        <v>16.735949999999999</v>
      </c>
      <c r="N231" s="79">
        <v>0.65973999999999999</v>
      </c>
      <c r="O231" s="79">
        <v>1.75682</v>
      </c>
      <c r="P231" s="79">
        <v>237.1875</v>
      </c>
      <c r="Q231" s="77"/>
      <c r="R231" s="77"/>
      <c r="S231" s="77"/>
      <c r="T231" s="77"/>
      <c r="U231" s="77"/>
      <c r="V231" s="87"/>
      <c r="W231" s="87"/>
      <c r="X231" s="87"/>
      <c r="Y231" s="77"/>
      <c r="Z231" s="88"/>
      <c r="AA231" s="35"/>
      <c r="AB231" s="35"/>
    </row>
    <row r="232" spans="1:28" x14ac:dyDescent="0.25">
      <c r="A232" s="68" t="str">
        <f t="shared" si="12"/>
        <v>405278</v>
      </c>
      <c r="B232" s="10">
        <f t="shared" si="13"/>
        <v>17.243099999999998</v>
      </c>
      <c r="C232" s="77" t="s">
        <v>229</v>
      </c>
      <c r="D232" s="191" t="str">
        <f t="shared" si="11"/>
        <v>StrongLumio koncovky k profilu Begton 12 oblá, bílá (pár)</v>
      </c>
      <c r="E232" s="77" t="s">
        <v>451</v>
      </c>
      <c r="F232" s="77" t="s">
        <v>452</v>
      </c>
      <c r="G232" s="77" t="s">
        <v>453</v>
      </c>
      <c r="H232" s="77" t="s">
        <v>454</v>
      </c>
      <c r="I232" s="77" t="s">
        <v>1463</v>
      </c>
      <c r="J232" s="90">
        <v>10</v>
      </c>
      <c r="K232" s="91">
        <v>1</v>
      </c>
      <c r="L232" s="77" t="s">
        <v>227</v>
      </c>
      <c r="M232" s="78">
        <v>17.243099999999998</v>
      </c>
      <c r="N232" s="79">
        <v>0.67972999999999995</v>
      </c>
      <c r="O232" s="79">
        <v>1.74779</v>
      </c>
      <c r="P232" s="79">
        <v>244.37501</v>
      </c>
      <c r="Q232" s="77"/>
      <c r="R232" s="77"/>
      <c r="S232" s="77"/>
      <c r="T232" s="77"/>
      <c r="U232" s="77"/>
      <c r="V232" s="87"/>
      <c r="W232" s="87"/>
      <c r="X232" s="87"/>
      <c r="Y232" s="77"/>
      <c r="Z232" s="88"/>
      <c r="AA232" s="35"/>
      <c r="AB232" s="35"/>
    </row>
    <row r="233" spans="1:28" x14ac:dyDescent="0.25">
      <c r="A233" s="68" t="str">
        <f t="shared" si="12"/>
        <v>405279</v>
      </c>
      <c r="B233" s="10">
        <f t="shared" si="13"/>
        <v>17.243099999999998</v>
      </c>
      <c r="C233" s="77" t="s">
        <v>245</v>
      </c>
      <c r="D233" s="191" t="str">
        <f t="shared" si="11"/>
        <v>StrongLumio koncovky k profilu Begton 12 oblá, černá (pár)</v>
      </c>
      <c r="E233" s="77" t="s">
        <v>455</v>
      </c>
      <c r="F233" s="77" t="s">
        <v>456</v>
      </c>
      <c r="G233" s="77" t="s">
        <v>457</v>
      </c>
      <c r="H233" s="77" t="s">
        <v>458</v>
      </c>
      <c r="I233" s="77" t="s">
        <v>1463</v>
      </c>
      <c r="J233" s="90">
        <v>10</v>
      </c>
      <c r="K233" s="91">
        <v>1</v>
      </c>
      <c r="L233" s="77" t="s">
        <v>227</v>
      </c>
      <c r="M233" s="78">
        <v>17.243099999999998</v>
      </c>
      <c r="N233" s="79">
        <v>0.67972999999999995</v>
      </c>
      <c r="O233" s="79">
        <v>1.7544200000000001</v>
      </c>
      <c r="P233" s="79">
        <v>244.37501</v>
      </c>
      <c r="Q233" s="77"/>
      <c r="R233" s="77"/>
      <c r="S233" s="77"/>
      <c r="T233" s="77"/>
      <c r="U233" s="77"/>
      <c r="V233" s="87"/>
      <c r="W233" s="87"/>
      <c r="X233" s="87"/>
      <c r="Y233" s="77"/>
      <c r="Z233" s="88"/>
      <c r="AA233" s="35"/>
      <c r="AB233" s="35"/>
    </row>
    <row r="234" spans="1:28" x14ac:dyDescent="0.25">
      <c r="A234" s="68" t="str">
        <f t="shared" si="12"/>
        <v>405277</v>
      </c>
      <c r="B234" s="10">
        <f t="shared" si="13"/>
        <v>17.243099999999998</v>
      </c>
      <c r="C234" s="77" t="s">
        <v>264</v>
      </c>
      <c r="D234" s="191" t="str">
        <f t="shared" si="11"/>
        <v>StrongLumio koncovky k profilu Begton 12 oblá, šedá (pár)</v>
      </c>
      <c r="E234" s="77" t="s">
        <v>463</v>
      </c>
      <c r="F234" s="77" t="s">
        <v>463</v>
      </c>
      <c r="G234" s="77" t="s">
        <v>464</v>
      </c>
      <c r="H234" s="77" t="s">
        <v>465</v>
      </c>
      <c r="I234" s="77" t="s">
        <v>1463</v>
      </c>
      <c r="J234" s="90">
        <v>10</v>
      </c>
      <c r="K234" s="91">
        <v>1</v>
      </c>
      <c r="L234" s="77" t="s">
        <v>227</v>
      </c>
      <c r="M234" s="78">
        <v>17.243099999999998</v>
      </c>
      <c r="N234" s="79">
        <v>0.67972999999999995</v>
      </c>
      <c r="O234" s="79">
        <v>1.75461</v>
      </c>
      <c r="P234" s="79">
        <v>244.37501</v>
      </c>
      <c r="Q234" s="77"/>
      <c r="R234" s="77"/>
      <c r="S234" s="77"/>
      <c r="T234" s="77"/>
      <c r="U234" s="77"/>
      <c r="V234" s="87"/>
      <c r="W234" s="87"/>
      <c r="X234" s="87"/>
      <c r="Y234" s="77"/>
      <c r="Z234" s="88"/>
      <c r="AA234" s="35"/>
      <c r="AB234" s="35"/>
    </row>
    <row r="235" spans="1:28" x14ac:dyDescent="0.25">
      <c r="A235" s="68" t="str">
        <f t="shared" si="12"/>
        <v>285046</v>
      </c>
      <c r="B235" s="10">
        <f t="shared" si="13"/>
        <v>17.243099999999998</v>
      </c>
      <c r="C235" s="77" t="s">
        <v>4917</v>
      </c>
      <c r="D235" s="191" t="str">
        <f t="shared" si="11"/>
        <v>StrongLumio koncovky k profilu Begton 12 rovná, bílá (pár)</v>
      </c>
      <c r="E235" s="77" t="s">
        <v>1505</v>
      </c>
      <c r="F235" s="77" t="s">
        <v>1506</v>
      </c>
      <c r="G235" s="77" t="s">
        <v>1508</v>
      </c>
      <c r="H235" s="77" t="s">
        <v>1507</v>
      </c>
      <c r="I235" s="77" t="s">
        <v>1463</v>
      </c>
      <c r="J235" s="90">
        <v>10</v>
      </c>
      <c r="K235" s="91">
        <v>1</v>
      </c>
      <c r="L235" s="77" t="s">
        <v>227</v>
      </c>
      <c r="M235" s="78">
        <v>17.243099999999998</v>
      </c>
      <c r="N235" s="79">
        <v>0.67972999999999995</v>
      </c>
      <c r="O235" s="79">
        <v>1.74594</v>
      </c>
      <c r="P235" s="79">
        <v>244.37501</v>
      </c>
      <c r="Q235" s="77"/>
      <c r="R235" s="77"/>
      <c r="S235" s="77"/>
      <c r="T235" s="77"/>
      <c r="U235" s="77"/>
      <c r="V235" s="87"/>
      <c r="W235" s="87"/>
      <c r="X235" s="87"/>
      <c r="Y235" s="77"/>
      <c r="Z235" s="88"/>
      <c r="AA235" s="35"/>
      <c r="AB235" s="35"/>
    </row>
    <row r="236" spans="1:28" x14ac:dyDescent="0.25">
      <c r="A236" s="68" t="str">
        <f t="shared" si="12"/>
        <v>285047</v>
      </c>
      <c r="B236" s="10">
        <f t="shared" si="13"/>
        <v>17.243099999999998</v>
      </c>
      <c r="C236" s="77" t="s">
        <v>4918</v>
      </c>
      <c r="D236" s="191" t="str">
        <f t="shared" si="11"/>
        <v>StrongLumio koncovky k profilu Begton 12 rovná, černá (pár)</v>
      </c>
      <c r="E236" s="77" t="s">
        <v>1509</v>
      </c>
      <c r="F236" s="77" t="s">
        <v>1510</v>
      </c>
      <c r="G236" s="77" t="s">
        <v>1512</v>
      </c>
      <c r="H236" s="77" t="s">
        <v>1511</v>
      </c>
      <c r="I236" s="77" t="s">
        <v>1463</v>
      </c>
      <c r="J236" s="90">
        <v>10</v>
      </c>
      <c r="K236" s="91">
        <v>1</v>
      </c>
      <c r="L236" s="77" t="s">
        <v>227</v>
      </c>
      <c r="M236" s="78">
        <v>17.243099999999998</v>
      </c>
      <c r="N236" s="79">
        <v>0.67972999999999995</v>
      </c>
      <c r="O236" s="79">
        <v>1.74594</v>
      </c>
      <c r="P236" s="79">
        <v>244.37501</v>
      </c>
      <c r="Q236" s="77"/>
      <c r="R236" s="77"/>
      <c r="S236" s="77"/>
      <c r="T236" s="77"/>
      <c r="U236" s="77"/>
      <c r="V236" s="87"/>
      <c r="W236" s="87"/>
      <c r="X236" s="87"/>
      <c r="Y236" s="77"/>
      <c r="Z236" s="88"/>
      <c r="AA236" s="35"/>
      <c r="AB236" s="35"/>
    </row>
    <row r="237" spans="1:28" x14ac:dyDescent="0.25">
      <c r="A237" s="68" t="str">
        <f t="shared" si="12"/>
        <v>285045</v>
      </c>
      <c r="B237" s="10">
        <f t="shared" si="13"/>
        <v>16.735949999999999</v>
      </c>
      <c r="C237" s="77" t="s">
        <v>4919</v>
      </c>
      <c r="D237" s="191" t="str">
        <f t="shared" si="11"/>
        <v>StrongLumio koncovky k profilu Begton 12 rovná, šedá (pár)</v>
      </c>
      <c r="E237" s="77" t="s">
        <v>1513</v>
      </c>
      <c r="F237" s="77" t="s">
        <v>1513</v>
      </c>
      <c r="G237" s="77" t="s">
        <v>1515</v>
      </c>
      <c r="H237" s="77" t="s">
        <v>1514</v>
      </c>
      <c r="I237" s="77" t="s">
        <v>1463</v>
      </c>
      <c r="J237" s="90">
        <v>10</v>
      </c>
      <c r="K237" s="91">
        <v>1</v>
      </c>
      <c r="L237" s="77" t="s">
        <v>227</v>
      </c>
      <c r="M237" s="78">
        <v>16.735949999999999</v>
      </c>
      <c r="N237" s="79">
        <v>0.65973999999999999</v>
      </c>
      <c r="O237" s="79">
        <v>1.75092</v>
      </c>
      <c r="P237" s="79">
        <v>237.1875</v>
      </c>
      <c r="Q237" s="77"/>
      <c r="R237" s="77"/>
      <c r="S237" s="77"/>
      <c r="T237" s="77"/>
      <c r="U237" s="77"/>
      <c r="V237" s="87"/>
      <c r="W237" s="87"/>
      <c r="X237" s="87"/>
      <c r="Y237" s="77"/>
      <c r="Z237" s="88"/>
      <c r="AA237" s="35"/>
      <c r="AB237" s="35"/>
    </row>
    <row r="238" spans="1:28" x14ac:dyDescent="0.25">
      <c r="A238" s="68" t="str">
        <f t="shared" si="12"/>
        <v>469095</v>
      </c>
      <c r="B238" s="10">
        <f t="shared" si="13"/>
        <v>17.243099999999998</v>
      </c>
      <c r="C238" s="77" t="s">
        <v>4920</v>
      </c>
      <c r="D238" s="191" t="str">
        <f t="shared" si="11"/>
        <v>StrongLumio koncovky k profilu Cabi bílá (pár)</v>
      </c>
      <c r="E238" s="77" t="s">
        <v>1516</v>
      </c>
      <c r="F238" s="77" t="s">
        <v>1517</v>
      </c>
      <c r="G238" s="77" t="s">
        <v>1519</v>
      </c>
      <c r="H238" s="77" t="s">
        <v>1518</v>
      </c>
      <c r="I238" s="77" t="s">
        <v>1463</v>
      </c>
      <c r="J238" s="90">
        <v>10</v>
      </c>
      <c r="K238" s="91">
        <v>1</v>
      </c>
      <c r="L238" s="77" t="s">
        <v>6565</v>
      </c>
      <c r="M238" s="78">
        <v>17.243099999999998</v>
      </c>
      <c r="N238" s="79">
        <v>0.67972999999999995</v>
      </c>
      <c r="O238" s="79">
        <v>1.74594</v>
      </c>
      <c r="P238" s="79">
        <v>244.37501</v>
      </c>
      <c r="Q238" s="77"/>
      <c r="R238" s="77"/>
      <c r="S238" s="77"/>
      <c r="T238" s="77"/>
      <c r="U238" s="77"/>
      <c r="V238" s="87"/>
      <c r="W238" s="87"/>
      <c r="X238" s="87"/>
      <c r="Y238" s="77"/>
      <c r="Z238" s="88"/>
      <c r="AA238" s="35"/>
      <c r="AB238" s="35"/>
    </row>
    <row r="239" spans="1:28" x14ac:dyDescent="0.25">
      <c r="A239" s="68" t="str">
        <f t="shared" si="12"/>
        <v>315781</v>
      </c>
      <c r="B239" s="10">
        <f t="shared" si="13"/>
        <v>17.243099999999998</v>
      </c>
      <c r="C239" s="77" t="s">
        <v>4921</v>
      </c>
      <c r="D239" s="191" t="str">
        <f t="shared" si="11"/>
        <v>StrongLumio koncovky k profilu Cabi černá (pár)</v>
      </c>
      <c r="E239" s="77" t="s">
        <v>1520</v>
      </c>
      <c r="F239" s="77" t="s">
        <v>1521</v>
      </c>
      <c r="G239" s="77" t="s">
        <v>1523</v>
      </c>
      <c r="H239" s="77" t="s">
        <v>1522</v>
      </c>
      <c r="I239" s="77" t="s">
        <v>1463</v>
      </c>
      <c r="J239" s="90">
        <v>10</v>
      </c>
      <c r="K239" s="91">
        <v>1</v>
      </c>
      <c r="L239" s="77" t="s">
        <v>6565</v>
      </c>
      <c r="M239" s="78">
        <v>17.243099999999998</v>
      </c>
      <c r="N239" s="79">
        <v>0.67972999999999995</v>
      </c>
      <c r="O239" s="79">
        <v>1.79508</v>
      </c>
      <c r="P239" s="79">
        <v>244.37501</v>
      </c>
      <c r="Q239" s="77"/>
      <c r="R239" s="77"/>
      <c r="S239" s="77"/>
      <c r="T239" s="77"/>
      <c r="U239" s="77"/>
      <c r="V239" s="87"/>
      <c r="W239" s="87"/>
      <c r="X239" s="87"/>
      <c r="Y239" s="77"/>
      <c r="Z239" s="88"/>
      <c r="AA239" s="35"/>
      <c r="AB239" s="35"/>
    </row>
    <row r="240" spans="1:28" x14ac:dyDescent="0.25">
      <c r="A240" s="68" t="str">
        <f t="shared" si="12"/>
        <v>285085</v>
      </c>
      <c r="B240" s="10">
        <f t="shared" si="13"/>
        <v>23.937480000000001</v>
      </c>
      <c r="C240" s="77" t="s">
        <v>367</v>
      </c>
      <c r="D240" s="191" t="str">
        <f t="shared" si="11"/>
        <v>StrongLumio koncovky k profilu Cabi, šedá (pár)</v>
      </c>
      <c r="E240" s="77" t="s">
        <v>512</v>
      </c>
      <c r="F240" s="77" t="s">
        <v>512</v>
      </c>
      <c r="G240" s="77" t="s">
        <v>513</v>
      </c>
      <c r="H240" s="77" t="s">
        <v>514</v>
      </c>
      <c r="I240" s="77" t="s">
        <v>1463</v>
      </c>
      <c r="J240" s="90">
        <v>10</v>
      </c>
      <c r="K240" s="91">
        <v>1</v>
      </c>
      <c r="L240" s="77" t="s">
        <v>227</v>
      </c>
      <c r="M240" s="78">
        <v>23.937480000000001</v>
      </c>
      <c r="N240" s="79">
        <v>0.94362000000000001</v>
      </c>
      <c r="O240" s="79">
        <v>2.5036999999999998</v>
      </c>
      <c r="P240" s="79">
        <v>339.25000999999997</v>
      </c>
      <c r="Q240" s="77"/>
      <c r="R240" s="77"/>
      <c r="S240" s="77"/>
      <c r="T240" s="77"/>
      <c r="U240" s="77"/>
      <c r="V240" s="87"/>
      <c r="W240" s="87"/>
      <c r="X240" s="87"/>
      <c r="Y240" s="77"/>
      <c r="Z240" s="88"/>
      <c r="AA240" s="35"/>
      <c r="AB240" s="35"/>
    </row>
    <row r="241" spans="1:28" x14ac:dyDescent="0.25">
      <c r="A241" s="68" t="str">
        <f t="shared" si="12"/>
        <v>517412</v>
      </c>
      <c r="B241" s="10">
        <f t="shared" si="13"/>
        <v>17.243099999999998</v>
      </c>
      <c r="C241" s="77" t="s">
        <v>344</v>
      </c>
      <c r="D241" s="191" t="str">
        <f t="shared" si="11"/>
        <v>StrongLumio koncovky k profilu Corner 10 gen2 bílá (pár)</v>
      </c>
      <c r="E241" s="77" t="s">
        <v>504</v>
      </c>
      <c r="F241" s="77" t="s">
        <v>505</v>
      </c>
      <c r="G241" s="77" t="s">
        <v>506</v>
      </c>
      <c r="H241" s="77" t="s">
        <v>507</v>
      </c>
      <c r="I241" s="77" t="s">
        <v>1463</v>
      </c>
      <c r="J241" s="90">
        <v>10</v>
      </c>
      <c r="K241" s="91">
        <v>1</v>
      </c>
      <c r="L241" s="77" t="s">
        <v>227</v>
      </c>
      <c r="M241" s="78">
        <v>17.243099999999998</v>
      </c>
      <c r="N241" s="79">
        <v>0.67972999999999995</v>
      </c>
      <c r="O241" s="79">
        <v>1.7587699999999999</v>
      </c>
      <c r="P241" s="79">
        <v>244.37501</v>
      </c>
      <c r="Q241" s="77"/>
      <c r="R241" s="77"/>
      <c r="S241" s="77"/>
      <c r="T241" s="77"/>
      <c r="U241" s="77"/>
      <c r="V241" s="87"/>
      <c r="W241" s="87"/>
      <c r="X241" s="87"/>
      <c r="Y241" s="77"/>
      <c r="Z241" s="88"/>
      <c r="AA241" s="35"/>
      <c r="AB241" s="35"/>
    </row>
    <row r="242" spans="1:28" x14ac:dyDescent="0.25">
      <c r="A242" s="68" t="str">
        <f t="shared" si="12"/>
        <v>517342</v>
      </c>
      <c r="B242" s="10">
        <f t="shared" si="13"/>
        <v>16.735949999999999</v>
      </c>
      <c r="C242" s="77" t="s">
        <v>354</v>
      </c>
      <c r="D242" s="191" t="str">
        <f t="shared" si="11"/>
        <v>StrongLumio koncovky k profilu Corner 10 gen2 černá (pár)</v>
      </c>
      <c r="E242" s="77" t="s">
        <v>508</v>
      </c>
      <c r="F242" s="77" t="s">
        <v>509</v>
      </c>
      <c r="G242" s="77" t="s">
        <v>510</v>
      </c>
      <c r="H242" s="77" t="s">
        <v>511</v>
      </c>
      <c r="I242" s="77" t="s">
        <v>1463</v>
      </c>
      <c r="J242" s="90">
        <v>10</v>
      </c>
      <c r="K242" s="91">
        <v>1</v>
      </c>
      <c r="L242" s="77" t="s">
        <v>227</v>
      </c>
      <c r="M242" s="78">
        <v>16.735949999999999</v>
      </c>
      <c r="N242" s="79">
        <v>0.65973999999999999</v>
      </c>
      <c r="O242" s="79">
        <v>1.7534799999999999</v>
      </c>
      <c r="P242" s="79">
        <v>237.1875</v>
      </c>
      <c r="Q242" s="77"/>
      <c r="R242" s="77"/>
      <c r="S242" s="77"/>
      <c r="T242" s="77"/>
      <c r="U242" s="77"/>
      <c r="V242" s="87"/>
      <c r="W242" s="87"/>
      <c r="X242" s="87"/>
      <c r="Y242" s="77"/>
      <c r="Z242" s="88"/>
      <c r="AA242" s="35"/>
      <c r="AB242" s="35"/>
    </row>
    <row r="243" spans="1:28" x14ac:dyDescent="0.25">
      <c r="A243" s="68" t="str">
        <f t="shared" si="12"/>
        <v>516791</v>
      </c>
      <c r="B243" s="10">
        <f t="shared" si="13"/>
        <v>16.735949999999999</v>
      </c>
      <c r="C243" s="77" t="s">
        <v>374</v>
      </c>
      <c r="D243" s="191" t="str">
        <f t="shared" si="11"/>
        <v>StrongLumio koncovky k profilu Corner 10 gen2 šedá (pár)</v>
      </c>
      <c r="E243" s="77" t="s">
        <v>515</v>
      </c>
      <c r="F243" s="77" t="s">
        <v>516</v>
      </c>
      <c r="G243" s="77" t="s">
        <v>517</v>
      </c>
      <c r="H243" s="77" t="s">
        <v>518</v>
      </c>
      <c r="I243" s="77" t="s">
        <v>1463</v>
      </c>
      <c r="J243" s="90">
        <v>10</v>
      </c>
      <c r="K243" s="91">
        <v>1</v>
      </c>
      <c r="L243" s="77" t="s">
        <v>227</v>
      </c>
      <c r="M243" s="78">
        <v>16.735949999999999</v>
      </c>
      <c r="N243" s="79">
        <v>0.65973999999999999</v>
      </c>
      <c r="O243" s="79">
        <v>1.7458800000000001</v>
      </c>
      <c r="P243" s="79">
        <v>237.1875</v>
      </c>
      <c r="Q243" s="77"/>
      <c r="R243" s="77"/>
      <c r="S243" s="77"/>
      <c r="T243" s="77"/>
      <c r="U243" s="77"/>
      <c r="V243" s="87"/>
      <c r="W243" s="87"/>
      <c r="X243" s="87"/>
      <c r="Y243" s="77"/>
      <c r="Z243" s="88"/>
      <c r="AA243" s="35"/>
      <c r="AB243" s="35"/>
    </row>
    <row r="244" spans="1:28" x14ac:dyDescent="0.25">
      <c r="A244" s="68" t="str">
        <f t="shared" si="12"/>
        <v>531659</v>
      </c>
      <c r="B244" s="10">
        <f t="shared" si="13"/>
        <v>21.3003</v>
      </c>
      <c r="C244" s="77" t="s">
        <v>4922</v>
      </c>
      <c r="D244" s="191" t="str">
        <f t="shared" si="11"/>
        <v>StrongLumio koncovky k profilu Diagonal 10 bílá (pár)</v>
      </c>
      <c r="E244" s="77" t="s">
        <v>1524</v>
      </c>
      <c r="F244" s="77" t="s">
        <v>1525</v>
      </c>
      <c r="G244" s="77" t="s">
        <v>1527</v>
      </c>
      <c r="H244" s="77" t="s">
        <v>1526</v>
      </c>
      <c r="I244" s="77" t="s">
        <v>1463</v>
      </c>
      <c r="J244" s="90">
        <v>10</v>
      </c>
      <c r="K244" s="91">
        <v>10</v>
      </c>
      <c r="L244" s="77" t="s">
        <v>6565</v>
      </c>
      <c r="M244" s="78">
        <v>21.3003</v>
      </c>
      <c r="N244" s="79">
        <v>0.83965999999999996</v>
      </c>
      <c r="O244" s="79">
        <v>2.2411799999999999</v>
      </c>
      <c r="P244" s="79">
        <v>301.875</v>
      </c>
      <c r="Q244" s="77"/>
      <c r="R244" s="77"/>
      <c r="S244" s="77"/>
      <c r="T244" s="77"/>
      <c r="U244" s="77"/>
      <c r="V244" s="87"/>
      <c r="W244" s="87"/>
      <c r="X244" s="87"/>
      <c r="Y244" s="77"/>
      <c r="Z244" s="88"/>
      <c r="AA244" s="35"/>
      <c r="AB244" s="35"/>
    </row>
    <row r="245" spans="1:28" x14ac:dyDescent="0.25">
      <c r="A245" s="68" t="str">
        <f t="shared" si="12"/>
        <v>531658</v>
      </c>
      <c r="B245" s="10">
        <f t="shared" si="13"/>
        <v>21.3003</v>
      </c>
      <c r="C245" s="77" t="s">
        <v>4923</v>
      </c>
      <c r="D245" s="191" t="str">
        <f t="shared" si="11"/>
        <v>StrongLumio koncovky k profilu Diagonal 10 černá (pár)</v>
      </c>
      <c r="E245" s="77" t="s">
        <v>1528</v>
      </c>
      <c r="F245" s="77" t="s">
        <v>1529</v>
      </c>
      <c r="G245" s="77" t="s">
        <v>1531</v>
      </c>
      <c r="H245" s="77" t="s">
        <v>1530</v>
      </c>
      <c r="I245" s="77" t="s">
        <v>1463</v>
      </c>
      <c r="J245" s="90">
        <v>10</v>
      </c>
      <c r="K245" s="91">
        <v>10</v>
      </c>
      <c r="L245" s="77" t="s">
        <v>6565</v>
      </c>
      <c r="M245" s="78">
        <v>21.3003</v>
      </c>
      <c r="N245" s="79">
        <v>0.83965999999999996</v>
      </c>
      <c r="O245" s="79">
        <v>2.2411799999999999</v>
      </c>
      <c r="P245" s="79">
        <v>301.875</v>
      </c>
      <c r="Q245" s="77"/>
      <c r="R245" s="77"/>
      <c r="S245" s="77"/>
      <c r="T245" s="77"/>
      <c r="U245" s="77"/>
      <c r="V245" s="87"/>
      <c r="W245" s="87"/>
      <c r="X245" s="87"/>
      <c r="Y245" s="77"/>
      <c r="Z245" s="88"/>
      <c r="AA245" s="35"/>
      <c r="AB245" s="35"/>
    </row>
    <row r="246" spans="1:28" x14ac:dyDescent="0.25">
      <c r="A246" s="68" t="str">
        <f t="shared" si="12"/>
        <v>531657</v>
      </c>
      <c r="B246" s="10">
        <f t="shared" si="13"/>
        <v>21.3003</v>
      </c>
      <c r="C246" s="77" t="s">
        <v>4924</v>
      </c>
      <c r="D246" s="191" t="str">
        <f t="shared" si="11"/>
        <v>StrongLumio koncovky k profilu Diagonal 10 šedá (pár)</v>
      </c>
      <c r="E246" s="77" t="s">
        <v>1532</v>
      </c>
      <c r="F246" s="77" t="s">
        <v>1533</v>
      </c>
      <c r="G246" s="77" t="s">
        <v>1535</v>
      </c>
      <c r="H246" s="77" t="s">
        <v>1534</v>
      </c>
      <c r="I246" s="77" t="s">
        <v>1463</v>
      </c>
      <c r="J246" s="90">
        <v>10</v>
      </c>
      <c r="K246" s="91">
        <v>10</v>
      </c>
      <c r="L246" s="77" t="s">
        <v>6565</v>
      </c>
      <c r="M246" s="78">
        <v>21.3003</v>
      </c>
      <c r="N246" s="79">
        <v>0.83965999999999996</v>
      </c>
      <c r="O246" s="79">
        <v>2.2411799999999999</v>
      </c>
      <c r="P246" s="79">
        <v>301.875</v>
      </c>
      <c r="Q246" s="77"/>
      <c r="R246" s="77"/>
      <c r="S246" s="77"/>
      <c r="T246" s="77"/>
      <c r="U246" s="77"/>
      <c r="V246" s="87"/>
      <c r="W246" s="87"/>
      <c r="X246" s="87"/>
      <c r="Y246" s="77"/>
      <c r="Z246" s="88"/>
      <c r="AA246" s="35"/>
      <c r="AB246" s="35"/>
    </row>
    <row r="247" spans="1:28" x14ac:dyDescent="0.25">
      <c r="A247" s="68" t="str">
        <f t="shared" si="12"/>
        <v>462171</v>
      </c>
      <c r="B247" s="10">
        <f t="shared" si="13"/>
        <v>17.243099999999998</v>
      </c>
      <c r="C247" s="77" t="s">
        <v>4925</v>
      </c>
      <c r="D247" s="191" t="str">
        <f t="shared" si="11"/>
        <v>StrongLumio koncovky k profilu Diagonal 14 bílá (pár)</v>
      </c>
      <c r="E247" s="77" t="s">
        <v>1536</v>
      </c>
      <c r="F247" s="77" t="s">
        <v>1537</v>
      </c>
      <c r="G247" s="77" t="s">
        <v>1539</v>
      </c>
      <c r="H247" s="77" t="s">
        <v>1538</v>
      </c>
      <c r="I247" s="77" t="s">
        <v>1463</v>
      </c>
      <c r="J247" s="90">
        <v>10</v>
      </c>
      <c r="K247" s="91">
        <v>1</v>
      </c>
      <c r="L247" s="77" t="s">
        <v>227</v>
      </c>
      <c r="M247" s="78">
        <v>17.243099999999998</v>
      </c>
      <c r="N247" s="79">
        <v>0.67972999999999995</v>
      </c>
      <c r="O247" s="79">
        <v>1.7624500000000001</v>
      </c>
      <c r="P247" s="79">
        <v>244.37501</v>
      </c>
      <c r="Q247" s="77"/>
      <c r="R247" s="77"/>
      <c r="S247" s="77"/>
      <c r="T247" s="77"/>
      <c r="U247" s="77"/>
      <c r="V247" s="87"/>
      <c r="W247" s="87"/>
      <c r="X247" s="87"/>
      <c r="Y247" s="77"/>
      <c r="Z247" s="88"/>
      <c r="AA247" s="35"/>
      <c r="AB247" s="35"/>
    </row>
    <row r="248" spans="1:28" x14ac:dyDescent="0.25">
      <c r="A248" s="68" t="str">
        <f t="shared" si="12"/>
        <v>462159</v>
      </c>
      <c r="B248" s="10">
        <f t="shared" si="13"/>
        <v>17.243099999999998</v>
      </c>
      <c r="C248" s="77" t="s">
        <v>4926</v>
      </c>
      <c r="D248" s="191" t="str">
        <f t="shared" si="11"/>
        <v>StrongLumio koncovky k profilu Diagonal 14 černá (pár)</v>
      </c>
      <c r="E248" s="77" t="s">
        <v>1540</v>
      </c>
      <c r="F248" s="77" t="s">
        <v>1541</v>
      </c>
      <c r="G248" s="77" t="s">
        <v>1543</v>
      </c>
      <c r="H248" s="77" t="s">
        <v>1542</v>
      </c>
      <c r="I248" s="77" t="s">
        <v>1463</v>
      </c>
      <c r="J248" s="90">
        <v>10</v>
      </c>
      <c r="K248" s="91">
        <v>1</v>
      </c>
      <c r="L248" s="77" t="s">
        <v>227</v>
      </c>
      <c r="M248" s="78">
        <v>17.243099999999998</v>
      </c>
      <c r="N248" s="79">
        <v>0.67972999999999995</v>
      </c>
      <c r="O248" s="79">
        <v>1.7722100000000001</v>
      </c>
      <c r="P248" s="79">
        <v>244.37501</v>
      </c>
      <c r="Q248" s="77"/>
      <c r="R248" s="77"/>
      <c r="S248" s="77"/>
      <c r="T248" s="77"/>
      <c r="U248" s="77"/>
      <c r="V248" s="87"/>
      <c r="W248" s="87"/>
      <c r="X248" s="87"/>
      <c r="Y248" s="77"/>
      <c r="Z248" s="88"/>
      <c r="AA248" s="35"/>
      <c r="AB248" s="35"/>
    </row>
    <row r="249" spans="1:28" x14ac:dyDescent="0.25">
      <c r="A249" s="68" t="str">
        <f t="shared" si="12"/>
        <v>462099</v>
      </c>
      <c r="B249" s="10">
        <f t="shared" si="13"/>
        <v>17.243099999999998</v>
      </c>
      <c r="C249" s="77" t="s">
        <v>4927</v>
      </c>
      <c r="D249" s="191" t="str">
        <f t="shared" si="11"/>
        <v>StrongLumio koncovky k profilu Diagonal 14 šedá (pár)</v>
      </c>
      <c r="E249" s="77" t="s">
        <v>1544</v>
      </c>
      <c r="F249" s="77" t="s">
        <v>1545</v>
      </c>
      <c r="G249" s="77" t="s">
        <v>1547</v>
      </c>
      <c r="H249" s="77" t="s">
        <v>1546</v>
      </c>
      <c r="I249" s="77" t="s">
        <v>1463</v>
      </c>
      <c r="J249" s="90">
        <v>10</v>
      </c>
      <c r="K249" s="91">
        <v>1</v>
      </c>
      <c r="L249" s="77" t="s">
        <v>227</v>
      </c>
      <c r="M249" s="78">
        <v>17.243099999999998</v>
      </c>
      <c r="N249" s="79">
        <v>0.67972999999999995</v>
      </c>
      <c r="O249" s="79">
        <v>1.7556799999999999</v>
      </c>
      <c r="P249" s="79">
        <v>244.37501</v>
      </c>
      <c r="Q249" s="77"/>
      <c r="R249" s="77"/>
      <c r="S249" s="77"/>
      <c r="T249" s="77"/>
      <c r="U249" s="77"/>
      <c r="V249" s="87"/>
      <c r="W249" s="87"/>
      <c r="X249" s="87"/>
      <c r="Y249" s="77"/>
      <c r="Z249" s="88"/>
      <c r="AA249" s="35"/>
      <c r="AB249" s="35"/>
    </row>
    <row r="250" spans="1:28" x14ac:dyDescent="0.25">
      <c r="A250" s="68" t="str">
        <f t="shared" si="12"/>
        <v>215049</v>
      </c>
      <c r="B250" s="10">
        <f t="shared" si="13"/>
        <v>34.159999999999997</v>
      </c>
      <c r="C250" s="77" t="s">
        <v>4928</v>
      </c>
      <c r="D250" s="191" t="str">
        <f t="shared" si="11"/>
        <v>StrongLumio koncovky k profilu Flat šedá (pár)</v>
      </c>
      <c r="E250" s="77" t="s">
        <v>1548</v>
      </c>
      <c r="F250" s="77" t="s">
        <v>1548</v>
      </c>
      <c r="G250" s="77" t="s">
        <v>1550</v>
      </c>
      <c r="H250" s="77" t="s">
        <v>1549</v>
      </c>
      <c r="I250" s="77" t="s">
        <v>1463</v>
      </c>
      <c r="J250" s="90">
        <v>10</v>
      </c>
      <c r="K250" s="91">
        <v>10</v>
      </c>
      <c r="L250" s="77" t="s">
        <v>6565</v>
      </c>
      <c r="M250" s="78">
        <v>34.159999999999997</v>
      </c>
      <c r="N250" s="79">
        <v>1.3720000000000001</v>
      </c>
      <c r="O250" s="79">
        <v>3.78254</v>
      </c>
      <c r="P250" s="79">
        <v>175.69665000000001</v>
      </c>
      <c r="Q250" s="77"/>
      <c r="R250" s="77"/>
      <c r="S250" s="77"/>
      <c r="T250" s="77"/>
      <c r="U250" s="77"/>
      <c r="V250" s="87"/>
      <c r="W250" s="87"/>
      <c r="X250" s="87"/>
      <c r="Y250" s="77"/>
      <c r="Z250" s="88"/>
      <c r="AA250" s="35"/>
      <c r="AB250" s="35"/>
    </row>
    <row r="251" spans="1:28" x14ac:dyDescent="0.25">
      <c r="A251" s="68" t="str">
        <f t="shared" si="12"/>
        <v>285072</v>
      </c>
      <c r="B251" s="10">
        <f t="shared" si="13"/>
        <v>29.4147</v>
      </c>
      <c r="C251" s="77" t="s">
        <v>4929</v>
      </c>
      <c r="D251" s="191" t="str">
        <f t="shared" si="11"/>
        <v>StrongLumio koncovky k profilu Floor 12, šedá (pár)</v>
      </c>
      <c r="E251" s="77" t="s">
        <v>1551</v>
      </c>
      <c r="F251" s="77" t="s">
        <v>1551</v>
      </c>
      <c r="G251" s="77" t="s">
        <v>1553</v>
      </c>
      <c r="H251" s="77" t="s">
        <v>1552</v>
      </c>
      <c r="I251" s="77" t="s">
        <v>1463</v>
      </c>
      <c r="J251" s="90">
        <v>10</v>
      </c>
      <c r="K251" s="91">
        <v>1</v>
      </c>
      <c r="L251" s="77" t="s">
        <v>227</v>
      </c>
      <c r="M251" s="78">
        <v>29.4147</v>
      </c>
      <c r="N251" s="79">
        <v>1.15954</v>
      </c>
      <c r="O251" s="79">
        <v>3.18587</v>
      </c>
      <c r="P251" s="79">
        <v>416.87500999999997</v>
      </c>
      <c r="Q251" s="77"/>
      <c r="R251" s="77"/>
      <c r="S251" s="77"/>
      <c r="T251" s="77"/>
      <c r="U251" s="77"/>
      <c r="V251" s="87"/>
      <c r="W251" s="87"/>
      <c r="X251" s="87"/>
      <c r="Y251" s="77"/>
      <c r="Z251" s="88"/>
      <c r="AA251" s="35"/>
      <c r="AB251" s="35"/>
    </row>
    <row r="252" spans="1:28" x14ac:dyDescent="0.25">
      <c r="A252" s="68" t="str">
        <f t="shared" si="12"/>
        <v>516781</v>
      </c>
      <c r="B252" s="10">
        <f t="shared" si="13"/>
        <v>17.243099999999998</v>
      </c>
      <c r="C252" s="77" t="s">
        <v>294</v>
      </c>
      <c r="D252" s="191" t="str">
        <f t="shared" si="11"/>
        <v>StrongLumio koncovky k profilu Groove 10 gen2 kulatá bílá (pár)</v>
      </c>
      <c r="E252" s="77" t="s">
        <v>466</v>
      </c>
      <c r="F252" s="77" t="s">
        <v>467</v>
      </c>
      <c r="G252" s="77" t="s">
        <v>468</v>
      </c>
      <c r="H252" s="77" t="s">
        <v>469</v>
      </c>
      <c r="I252" s="77" t="s">
        <v>1463</v>
      </c>
      <c r="J252" s="90">
        <v>10</v>
      </c>
      <c r="K252" s="91">
        <v>1</v>
      </c>
      <c r="L252" s="77" t="s">
        <v>227</v>
      </c>
      <c r="M252" s="78">
        <v>17.243099999999998</v>
      </c>
      <c r="N252" s="79">
        <v>0.67972999999999995</v>
      </c>
      <c r="O252" s="79">
        <v>1.7458100000000001</v>
      </c>
      <c r="P252" s="79">
        <v>244.37501</v>
      </c>
      <c r="Q252" s="77"/>
      <c r="R252" s="77"/>
      <c r="S252" s="77"/>
      <c r="T252" s="77"/>
      <c r="U252" s="77"/>
      <c r="V252" s="87"/>
      <c r="W252" s="87"/>
      <c r="X252" s="87"/>
      <c r="Y252" s="77"/>
      <c r="Z252" s="88"/>
      <c r="AA252" s="35"/>
      <c r="AB252" s="35"/>
    </row>
    <row r="253" spans="1:28" x14ac:dyDescent="0.25">
      <c r="A253" s="68" t="str">
        <f t="shared" si="12"/>
        <v>516780</v>
      </c>
      <c r="B253" s="10">
        <f t="shared" si="13"/>
        <v>16.735949999999999</v>
      </c>
      <c r="C253" s="77" t="s">
        <v>313</v>
      </c>
      <c r="D253" s="191" t="str">
        <f t="shared" si="11"/>
        <v>StrongLumio koncovky k profilu Groove 10 gen2 kulatá černá (pár)</v>
      </c>
      <c r="E253" s="77" t="s">
        <v>470</v>
      </c>
      <c r="F253" s="77" t="s">
        <v>471</v>
      </c>
      <c r="G253" s="77" t="s">
        <v>472</v>
      </c>
      <c r="H253" s="77" t="s">
        <v>473</v>
      </c>
      <c r="I253" s="77" t="s">
        <v>1463</v>
      </c>
      <c r="J253" s="90">
        <v>10</v>
      </c>
      <c r="K253" s="91">
        <v>1</v>
      </c>
      <c r="L253" s="77" t="s">
        <v>227</v>
      </c>
      <c r="M253" s="78">
        <v>16.735949999999999</v>
      </c>
      <c r="N253" s="79">
        <v>0.65973999999999999</v>
      </c>
      <c r="O253" s="79">
        <v>1.74586</v>
      </c>
      <c r="P253" s="79">
        <v>237.1875</v>
      </c>
      <c r="Q253" s="77"/>
      <c r="R253" s="77"/>
      <c r="S253" s="77"/>
      <c r="T253" s="77"/>
      <c r="U253" s="77"/>
      <c r="V253" s="87"/>
      <c r="W253" s="87"/>
      <c r="X253" s="87"/>
      <c r="Y253" s="77"/>
      <c r="Z253" s="88"/>
      <c r="AA253" s="35"/>
      <c r="AB253" s="35"/>
    </row>
    <row r="254" spans="1:28" x14ac:dyDescent="0.25">
      <c r="A254" s="68" t="str">
        <f t="shared" si="12"/>
        <v>516779</v>
      </c>
      <c r="B254" s="10">
        <f t="shared" si="13"/>
        <v>17.243099999999998</v>
      </c>
      <c r="C254" s="77" t="s">
        <v>332</v>
      </c>
      <c r="D254" s="191" t="str">
        <f t="shared" si="11"/>
        <v>StrongLumio koncovky k profilu Groove 10 gen2 kulatá šedá (pár)</v>
      </c>
      <c r="E254" s="77" t="s">
        <v>500</v>
      </c>
      <c r="F254" s="77" t="s">
        <v>501</v>
      </c>
      <c r="G254" s="77" t="s">
        <v>502</v>
      </c>
      <c r="H254" s="77" t="s">
        <v>503</v>
      </c>
      <c r="I254" s="77" t="s">
        <v>1463</v>
      </c>
      <c r="J254" s="90">
        <v>10</v>
      </c>
      <c r="K254" s="91">
        <v>1</v>
      </c>
      <c r="L254" s="77" t="s">
        <v>227</v>
      </c>
      <c r="M254" s="78">
        <v>17.243099999999998</v>
      </c>
      <c r="N254" s="79">
        <v>0.67972999999999995</v>
      </c>
      <c r="O254" s="79">
        <v>1.74857</v>
      </c>
      <c r="P254" s="79">
        <v>244.37501</v>
      </c>
      <c r="Q254" s="77"/>
      <c r="R254" s="77"/>
      <c r="S254" s="77"/>
      <c r="T254" s="77"/>
      <c r="U254" s="77"/>
      <c r="V254" s="87"/>
      <c r="W254" s="87"/>
      <c r="X254" s="87"/>
      <c r="Y254" s="77"/>
      <c r="Z254" s="88"/>
      <c r="AA254" s="35"/>
      <c r="AB254" s="35"/>
    </row>
    <row r="255" spans="1:28" x14ac:dyDescent="0.25">
      <c r="A255" s="68" t="str">
        <f t="shared" si="12"/>
        <v>130656</v>
      </c>
      <c r="B255" s="10">
        <f t="shared" si="13"/>
        <v>19.566269999999999</v>
      </c>
      <c r="C255" s="77" t="s">
        <v>4930</v>
      </c>
      <c r="D255" s="191" t="str">
        <f t="shared" si="11"/>
        <v>StrongLumio koncovky k profilu Groove 10 kulatá šedá (pár)</v>
      </c>
      <c r="E255" s="77" t="s">
        <v>1554</v>
      </c>
      <c r="F255" s="77" t="s">
        <v>1555</v>
      </c>
      <c r="G255" s="77" t="s">
        <v>1557</v>
      </c>
      <c r="H255" s="77" t="s">
        <v>1556</v>
      </c>
      <c r="I255" s="77" t="s">
        <v>1463</v>
      </c>
      <c r="J255" s="90">
        <v>10</v>
      </c>
      <c r="K255" s="91">
        <v>1</v>
      </c>
      <c r="L255" s="77" t="s">
        <v>160</v>
      </c>
      <c r="M255" s="78">
        <v>19.566269999999999</v>
      </c>
      <c r="N255" s="79">
        <v>0.79063000000000005</v>
      </c>
      <c r="O255" s="79">
        <v>1.86612</v>
      </c>
      <c r="P255" s="79">
        <v>181.23329000000001</v>
      </c>
      <c r="Q255" s="77"/>
      <c r="R255" s="77"/>
      <c r="S255" s="77"/>
      <c r="T255" s="77"/>
      <c r="U255" s="77"/>
      <c r="V255" s="87"/>
      <c r="W255" s="87"/>
      <c r="X255" s="87"/>
      <c r="Y255" s="77"/>
      <c r="Z255" s="88"/>
      <c r="AA255" s="35"/>
      <c r="AB255" s="35"/>
    </row>
    <row r="256" spans="1:28" x14ac:dyDescent="0.25">
      <c r="A256" s="68" t="str">
        <f t="shared" si="12"/>
        <v>499423</v>
      </c>
      <c r="B256" s="10">
        <f t="shared" si="13"/>
        <v>17.243099999999998</v>
      </c>
      <c r="C256" s="77" t="s">
        <v>293</v>
      </c>
      <c r="D256" s="191" t="str">
        <f t="shared" si="11"/>
        <v>StrongLumio koncovky k profilu Groove 10 rovná (pár) bílá</v>
      </c>
      <c r="E256" s="77" t="s">
        <v>486</v>
      </c>
      <c r="F256" s="77" t="s">
        <v>487</v>
      </c>
      <c r="G256" s="77" t="s">
        <v>488</v>
      </c>
      <c r="H256" s="77" t="s">
        <v>489</v>
      </c>
      <c r="I256" s="77" t="s">
        <v>1463</v>
      </c>
      <c r="J256" s="90">
        <v>10</v>
      </c>
      <c r="K256" s="91">
        <v>1</v>
      </c>
      <c r="L256" s="77" t="s">
        <v>227</v>
      </c>
      <c r="M256" s="78">
        <v>17.243099999999998</v>
      </c>
      <c r="N256" s="79">
        <v>0.67972999999999995</v>
      </c>
      <c r="O256" s="79">
        <v>1.74678</v>
      </c>
      <c r="P256" s="79">
        <v>244.37501</v>
      </c>
      <c r="Q256" s="77"/>
      <c r="R256" s="77"/>
      <c r="S256" s="77"/>
      <c r="T256" s="77"/>
      <c r="U256" s="77"/>
      <c r="V256" s="87"/>
      <c r="W256" s="87"/>
      <c r="X256" s="87"/>
      <c r="Y256" s="77"/>
      <c r="Z256" s="88"/>
      <c r="AA256" s="35"/>
      <c r="AB256" s="35"/>
    </row>
    <row r="257" spans="1:28" x14ac:dyDescent="0.25">
      <c r="A257" s="68" t="str">
        <f t="shared" si="12"/>
        <v>471886</v>
      </c>
      <c r="B257" s="10">
        <f t="shared" si="13"/>
        <v>17.243099999999998</v>
      </c>
      <c r="C257" s="77" t="s">
        <v>312</v>
      </c>
      <c r="D257" s="191" t="str">
        <f t="shared" si="11"/>
        <v>StrongLumio koncovky k profilu Groove 10 rovná černá (pár)</v>
      </c>
      <c r="E257" s="77" t="s">
        <v>493</v>
      </c>
      <c r="F257" s="77" t="s">
        <v>494</v>
      </c>
      <c r="G257" s="77" t="s">
        <v>495</v>
      </c>
      <c r="H257" s="77" t="s">
        <v>496</v>
      </c>
      <c r="I257" s="77" t="s">
        <v>1463</v>
      </c>
      <c r="J257" s="90">
        <v>10</v>
      </c>
      <c r="K257" s="91">
        <v>1</v>
      </c>
      <c r="L257" s="77" t="s">
        <v>227</v>
      </c>
      <c r="M257" s="78">
        <v>17.243099999999998</v>
      </c>
      <c r="N257" s="79">
        <v>0.67972999999999995</v>
      </c>
      <c r="O257" s="79">
        <v>1.7458100000000001</v>
      </c>
      <c r="P257" s="79">
        <v>244.37501</v>
      </c>
      <c r="Q257" s="77"/>
      <c r="R257" s="77"/>
      <c r="S257" s="77"/>
      <c r="T257" s="77"/>
      <c r="U257" s="77"/>
      <c r="V257" s="87"/>
      <c r="W257" s="87"/>
      <c r="X257" s="87"/>
      <c r="Y257" s="77"/>
      <c r="Z257" s="88"/>
      <c r="AA257" s="35"/>
      <c r="AB257" s="35"/>
    </row>
    <row r="258" spans="1:28" x14ac:dyDescent="0.25">
      <c r="A258" s="68" t="str">
        <f t="shared" si="12"/>
        <v>472101</v>
      </c>
      <c r="B258" s="10">
        <f t="shared" si="13"/>
        <v>16.735949999999999</v>
      </c>
      <c r="C258" s="77" t="s">
        <v>333</v>
      </c>
      <c r="D258" s="191" t="str">
        <f t="shared" si="11"/>
        <v>StrongLumio koncovky k profilu Groove 10 rovná šedá (pár)</v>
      </c>
      <c r="E258" s="77" t="s">
        <v>474</v>
      </c>
      <c r="F258" s="77" t="s">
        <v>475</v>
      </c>
      <c r="G258" s="77" t="s">
        <v>6432</v>
      </c>
      <c r="H258" s="77" t="s">
        <v>477</v>
      </c>
      <c r="I258" s="77" t="s">
        <v>1463</v>
      </c>
      <c r="J258" s="90">
        <v>10</v>
      </c>
      <c r="K258" s="91">
        <v>1</v>
      </c>
      <c r="L258" s="77" t="s">
        <v>227</v>
      </c>
      <c r="M258" s="78">
        <v>16.735949999999999</v>
      </c>
      <c r="N258" s="79">
        <v>0.65973999999999999</v>
      </c>
      <c r="O258" s="79">
        <v>1.7472399999999999</v>
      </c>
      <c r="P258" s="79">
        <v>237.1875</v>
      </c>
      <c r="Q258" s="77"/>
      <c r="R258" s="77"/>
      <c r="S258" s="77"/>
      <c r="T258" s="77"/>
      <c r="U258" s="77"/>
      <c r="V258" s="87"/>
      <c r="W258" s="87"/>
      <c r="X258" s="87"/>
      <c r="Y258" s="77"/>
      <c r="Z258" s="88"/>
      <c r="AA258" s="35"/>
      <c r="AB258" s="35"/>
    </row>
    <row r="259" spans="1:28" x14ac:dyDescent="0.25">
      <c r="A259" s="68" t="str">
        <f t="shared" si="12"/>
        <v>367592</v>
      </c>
      <c r="B259" s="10">
        <f t="shared" si="13"/>
        <v>24.3432</v>
      </c>
      <c r="C259" s="77" t="s">
        <v>4931</v>
      </c>
      <c r="D259" s="191" t="str">
        <f t="shared" ref="D259:D322" si="14">IF($B$1=1,E259,IF($B$1=2,F259,IF($B$1=3,G259,IF($B$1=4,H259))))</f>
        <v>StrongLumio koncovky k profilu HI8 stříbrná (pár)</v>
      </c>
      <c r="E259" s="77" t="s">
        <v>1558</v>
      </c>
      <c r="F259" s="77" t="s">
        <v>1559</v>
      </c>
      <c r="G259" s="77" t="s">
        <v>6433</v>
      </c>
      <c r="H259" s="77" t="s">
        <v>1560</v>
      </c>
      <c r="I259" s="77" t="s">
        <v>1463</v>
      </c>
      <c r="J259" s="90">
        <v>10</v>
      </c>
      <c r="K259" s="91">
        <v>10</v>
      </c>
      <c r="L259" s="77" t="s">
        <v>6565</v>
      </c>
      <c r="M259" s="78">
        <v>24.3432</v>
      </c>
      <c r="N259" s="79">
        <v>0.95962000000000003</v>
      </c>
      <c r="O259" s="79">
        <v>2.4079199999999998</v>
      </c>
      <c r="P259" s="79">
        <v>345</v>
      </c>
      <c r="Q259" s="77"/>
      <c r="R259" s="77"/>
      <c r="S259" s="77"/>
      <c r="T259" s="77"/>
      <c r="U259" s="77"/>
      <c r="V259" s="87"/>
      <c r="W259" s="87"/>
      <c r="X259" s="87"/>
      <c r="Y259" s="77"/>
      <c r="Z259" s="88"/>
      <c r="AA259" s="35"/>
      <c r="AB259" s="35"/>
    </row>
    <row r="260" spans="1:28" x14ac:dyDescent="0.25">
      <c r="A260" s="68" t="str">
        <f t="shared" si="12"/>
        <v>405266</v>
      </c>
      <c r="B260" s="10">
        <f t="shared" si="13"/>
        <v>17.243099999999998</v>
      </c>
      <c r="C260" s="77" t="s">
        <v>4932</v>
      </c>
      <c r="D260" s="191" t="str">
        <f t="shared" si="14"/>
        <v>StrongLumio koncovky k profilu HI8, mléčná (pár)</v>
      </c>
      <c r="E260" s="77" t="s">
        <v>1561</v>
      </c>
      <c r="F260" s="77" t="s">
        <v>1562</v>
      </c>
      <c r="G260" s="77" t="s">
        <v>1564</v>
      </c>
      <c r="H260" s="77" t="s">
        <v>1563</v>
      </c>
      <c r="I260" s="77" t="s">
        <v>1463</v>
      </c>
      <c r="J260" s="90">
        <v>10</v>
      </c>
      <c r="K260" s="91">
        <v>1</v>
      </c>
      <c r="L260" s="77" t="s">
        <v>227</v>
      </c>
      <c r="M260" s="78">
        <v>17.243099999999998</v>
      </c>
      <c r="N260" s="79">
        <v>0.67972999999999995</v>
      </c>
      <c r="O260" s="79">
        <v>1.75766</v>
      </c>
      <c r="P260" s="79">
        <v>244.37501</v>
      </c>
      <c r="Q260" s="77"/>
      <c r="R260" s="77"/>
      <c r="S260" s="77"/>
      <c r="T260" s="77"/>
      <c r="U260" s="77"/>
      <c r="V260" s="87"/>
      <c r="W260" s="87"/>
      <c r="X260" s="87"/>
      <c r="Y260" s="77"/>
      <c r="Z260" s="88"/>
      <c r="AA260" s="35"/>
      <c r="AB260" s="35"/>
    </row>
    <row r="261" spans="1:28" x14ac:dyDescent="0.25">
      <c r="A261" s="68" t="str">
        <f t="shared" si="12"/>
        <v>405265</v>
      </c>
      <c r="B261" s="10">
        <f t="shared" si="13"/>
        <v>17.243099999999998</v>
      </c>
      <c r="C261" s="77" t="s">
        <v>4933</v>
      </c>
      <c r="D261" s="191" t="str">
        <f t="shared" si="14"/>
        <v>StrongLumio koncovky k profilu HI8, šedá (pár)</v>
      </c>
      <c r="E261" s="77" t="s">
        <v>1565</v>
      </c>
      <c r="F261" s="77" t="s">
        <v>1565</v>
      </c>
      <c r="G261" s="77" t="s">
        <v>1567</v>
      </c>
      <c r="H261" s="77" t="s">
        <v>1566</v>
      </c>
      <c r="I261" s="77" t="s">
        <v>1463</v>
      </c>
      <c r="J261" s="90">
        <v>10</v>
      </c>
      <c r="K261" s="91">
        <v>1</v>
      </c>
      <c r="L261" s="77" t="s">
        <v>227</v>
      </c>
      <c r="M261" s="78">
        <v>17.243099999999998</v>
      </c>
      <c r="N261" s="79">
        <v>0.67972999999999995</v>
      </c>
      <c r="O261" s="79">
        <v>1.7493000000000001</v>
      </c>
      <c r="P261" s="79">
        <v>244.37501</v>
      </c>
      <c r="Q261" s="77"/>
      <c r="R261" s="77"/>
      <c r="S261" s="77"/>
      <c r="T261" s="77"/>
      <c r="U261" s="77"/>
      <c r="V261" s="87"/>
      <c r="W261" s="87"/>
      <c r="X261" s="87"/>
      <c r="Y261" s="77"/>
      <c r="Z261" s="88"/>
      <c r="AA261" s="35"/>
      <c r="AB261" s="35"/>
    </row>
    <row r="262" spans="1:28" x14ac:dyDescent="0.25">
      <c r="A262" s="68" t="str">
        <f t="shared" si="12"/>
        <v>552690</v>
      </c>
      <c r="B262" s="10">
        <f t="shared" si="13"/>
        <v>21.228480000000001</v>
      </c>
      <c r="C262" s="77" t="s">
        <v>4934</v>
      </c>
      <c r="D262" s="191" t="str">
        <f t="shared" si="14"/>
        <v>StrongLumio koncovky k profilu Maglyte-10 Angular černá (pár)</v>
      </c>
      <c r="E262" s="77" t="s">
        <v>1568</v>
      </c>
      <c r="F262" s="77" t="s">
        <v>1569</v>
      </c>
      <c r="G262" s="77" t="s">
        <v>1570</v>
      </c>
      <c r="H262" s="77" t="s">
        <v>6434</v>
      </c>
      <c r="I262" s="77" t="s">
        <v>1463</v>
      </c>
      <c r="J262" s="90">
        <v>10</v>
      </c>
      <c r="K262" s="91">
        <v>1</v>
      </c>
      <c r="L262" s="77" t="s">
        <v>227</v>
      </c>
      <c r="M262" s="78">
        <v>21.228480000000001</v>
      </c>
      <c r="N262" s="79">
        <v>0.83167000000000002</v>
      </c>
      <c r="O262" s="79">
        <v>2.0868799999999998</v>
      </c>
      <c r="P262" s="79">
        <v>298.01888000000002</v>
      </c>
      <c r="Q262" s="77"/>
      <c r="R262" s="77"/>
      <c r="S262" s="77"/>
      <c r="T262" s="77"/>
      <c r="U262" s="77"/>
      <c r="V262" s="87"/>
      <c r="W262" s="87"/>
      <c r="X262" s="87"/>
      <c r="Y262" s="77"/>
      <c r="Z262" s="88"/>
      <c r="AA262" s="35"/>
      <c r="AB262" s="35"/>
    </row>
    <row r="263" spans="1:28" x14ac:dyDescent="0.25">
      <c r="A263" s="68" t="str">
        <f t="shared" si="12"/>
        <v>552689</v>
      </c>
      <c r="B263" s="10">
        <f t="shared" si="13"/>
        <v>21.228480000000001</v>
      </c>
      <c r="C263" s="77" t="s">
        <v>4935</v>
      </c>
      <c r="D263" s="191" t="str">
        <f t="shared" si="14"/>
        <v>StrongLumio koncovky k profilu Maglyte-10 Angular šedá (pár)</v>
      </c>
      <c r="E263" s="77" t="s">
        <v>1571</v>
      </c>
      <c r="F263" s="77" t="s">
        <v>1571</v>
      </c>
      <c r="G263" s="77" t="s">
        <v>1572</v>
      </c>
      <c r="H263" s="77" t="s">
        <v>6435</v>
      </c>
      <c r="I263" s="77" t="s">
        <v>1463</v>
      </c>
      <c r="J263" s="90">
        <v>10</v>
      </c>
      <c r="K263" s="91">
        <v>1</v>
      </c>
      <c r="L263" s="77" t="s">
        <v>227</v>
      </c>
      <c r="M263" s="78">
        <v>21.228480000000001</v>
      </c>
      <c r="N263" s="79">
        <v>0.83167000000000002</v>
      </c>
      <c r="O263" s="79">
        <v>2.0868799999999998</v>
      </c>
      <c r="P263" s="79">
        <v>298.01888000000002</v>
      </c>
      <c r="Q263" s="77"/>
      <c r="R263" s="77"/>
      <c r="S263" s="77"/>
      <c r="T263" s="77"/>
      <c r="U263" s="77"/>
      <c r="V263" s="87"/>
      <c r="W263" s="87"/>
      <c r="X263" s="87"/>
      <c r="Y263" s="77"/>
      <c r="Z263" s="88"/>
      <c r="AA263" s="35"/>
      <c r="AB263" s="35"/>
    </row>
    <row r="264" spans="1:28" x14ac:dyDescent="0.25">
      <c r="A264" s="68" t="str">
        <f t="shared" si="12"/>
        <v>552688</v>
      </c>
      <c r="B264" s="10">
        <f t="shared" si="13"/>
        <v>17.04402</v>
      </c>
      <c r="C264" s="77" t="s">
        <v>4936</v>
      </c>
      <c r="D264" s="191" t="str">
        <f t="shared" si="14"/>
        <v>StrongLumio koncovky k profilu Maglyte-10 černá (pár)</v>
      </c>
      <c r="E264" s="77" t="s">
        <v>1573</v>
      </c>
      <c r="F264" s="77" t="s">
        <v>1574</v>
      </c>
      <c r="G264" s="77" t="s">
        <v>1575</v>
      </c>
      <c r="H264" s="77" t="s">
        <v>6436</v>
      </c>
      <c r="I264" s="77" t="s">
        <v>1463</v>
      </c>
      <c r="J264" s="90">
        <v>10</v>
      </c>
      <c r="K264" s="91">
        <v>1</v>
      </c>
      <c r="L264" s="77" t="s">
        <v>227</v>
      </c>
      <c r="M264" s="78">
        <v>17.04402</v>
      </c>
      <c r="N264" s="79">
        <v>0.66773000000000005</v>
      </c>
      <c r="O264" s="79">
        <v>1.6755100000000001</v>
      </c>
      <c r="P264" s="79">
        <v>239.27475000000001</v>
      </c>
      <c r="Q264" s="77"/>
      <c r="R264" s="77"/>
      <c r="S264" s="77"/>
      <c r="T264" s="77"/>
      <c r="U264" s="77"/>
      <c r="V264" s="87"/>
      <c r="W264" s="87"/>
      <c r="X264" s="87"/>
      <c r="Y264" s="77"/>
      <c r="Z264" s="88"/>
      <c r="AA264" s="35"/>
      <c r="AB264" s="35"/>
    </row>
    <row r="265" spans="1:28" x14ac:dyDescent="0.25">
      <c r="A265" s="68" t="str">
        <f t="shared" si="12"/>
        <v>552687</v>
      </c>
      <c r="B265" s="10">
        <f t="shared" si="13"/>
        <v>17.04402</v>
      </c>
      <c r="C265" s="77" t="s">
        <v>4937</v>
      </c>
      <c r="D265" s="191" t="str">
        <f t="shared" si="14"/>
        <v>StrongLumio koncovky k profilu Maglyte-10 šedá (pár)</v>
      </c>
      <c r="E265" s="77" t="s">
        <v>1576</v>
      </c>
      <c r="F265" s="77" t="s">
        <v>1576</v>
      </c>
      <c r="G265" s="77" t="s">
        <v>1577</v>
      </c>
      <c r="H265" s="77" t="s">
        <v>6437</v>
      </c>
      <c r="I265" s="77" t="s">
        <v>1463</v>
      </c>
      <c r="J265" s="90">
        <v>10</v>
      </c>
      <c r="K265" s="91">
        <v>1</v>
      </c>
      <c r="L265" s="77" t="s">
        <v>227</v>
      </c>
      <c r="M265" s="78">
        <v>17.04402</v>
      </c>
      <c r="N265" s="79">
        <v>0.66773000000000005</v>
      </c>
      <c r="O265" s="79">
        <v>1.6755100000000001</v>
      </c>
      <c r="P265" s="79">
        <v>239.27475000000001</v>
      </c>
      <c r="Q265" s="77"/>
      <c r="R265" s="77"/>
      <c r="S265" s="77"/>
      <c r="T265" s="77"/>
      <c r="U265" s="77"/>
      <c r="V265" s="87"/>
      <c r="W265" s="87"/>
      <c r="X265" s="87"/>
      <c r="Y265" s="77"/>
      <c r="Z265" s="88"/>
      <c r="AA265" s="35"/>
      <c r="AB265" s="35"/>
    </row>
    <row r="266" spans="1:28" x14ac:dyDescent="0.25">
      <c r="A266" s="68" t="str">
        <f t="shared" si="12"/>
        <v>214915</v>
      </c>
      <c r="B266" s="10">
        <f t="shared" si="13"/>
        <v>111.57299999999999</v>
      </c>
      <c r="C266" s="77" t="s">
        <v>4938</v>
      </c>
      <c r="D266" s="191" t="str">
        <f t="shared" si="14"/>
        <v>StrongLumio koncovky k profilu Oval (pár)</v>
      </c>
      <c r="E266" s="77" t="s">
        <v>1578</v>
      </c>
      <c r="F266" s="77" t="s">
        <v>1579</v>
      </c>
      <c r="G266" s="77" t="s">
        <v>1581</v>
      </c>
      <c r="H266" s="77" t="s">
        <v>1580</v>
      </c>
      <c r="I266" s="77" t="s">
        <v>1463</v>
      </c>
      <c r="J266" s="90">
        <v>1</v>
      </c>
      <c r="K266" s="91">
        <v>1</v>
      </c>
      <c r="L266" s="77" t="s">
        <v>160</v>
      </c>
      <c r="M266" s="78">
        <v>111.57299999999999</v>
      </c>
      <c r="N266" s="79">
        <v>4.3982400000000004</v>
      </c>
      <c r="O266" s="79">
        <v>10.794230000000001</v>
      </c>
      <c r="P266" s="79">
        <v>1581.25001</v>
      </c>
      <c r="Q266" s="77"/>
      <c r="R266" s="77"/>
      <c r="S266" s="77"/>
      <c r="T266" s="77"/>
      <c r="U266" s="77"/>
      <c r="V266" s="87"/>
      <c r="W266" s="87"/>
      <c r="X266" s="87"/>
      <c r="Y266" s="77"/>
      <c r="Z266" s="88"/>
      <c r="AA266" s="35"/>
      <c r="AB266" s="35"/>
    </row>
    <row r="267" spans="1:28" x14ac:dyDescent="0.25">
      <c r="A267" s="68" t="str">
        <f t="shared" si="12"/>
        <v>405267</v>
      </c>
      <c r="B267" s="10">
        <f t="shared" si="13"/>
        <v>16.735949999999999</v>
      </c>
      <c r="C267" s="77" t="s">
        <v>4939</v>
      </c>
      <c r="D267" s="191" t="str">
        <f t="shared" si="14"/>
        <v>StrongLumio koncovky k profilu Slash8, mléčná (pár)</v>
      </c>
      <c r="E267" s="77" t="s">
        <v>1582</v>
      </c>
      <c r="F267" s="77" t="s">
        <v>1583</v>
      </c>
      <c r="G267" s="77" t="s">
        <v>1585</v>
      </c>
      <c r="H267" s="77" t="s">
        <v>1584</v>
      </c>
      <c r="I267" s="77" t="s">
        <v>1463</v>
      </c>
      <c r="J267" s="90">
        <v>10</v>
      </c>
      <c r="K267" s="91">
        <v>1</v>
      </c>
      <c r="L267" s="77" t="s">
        <v>227</v>
      </c>
      <c r="M267" s="78">
        <v>16.735949999999999</v>
      </c>
      <c r="N267" s="79">
        <v>0.65973999999999999</v>
      </c>
      <c r="O267" s="79">
        <v>1.75718</v>
      </c>
      <c r="P267" s="79">
        <v>237.1875</v>
      </c>
      <c r="Q267" s="77"/>
      <c r="R267" s="77"/>
      <c r="S267" s="77"/>
      <c r="T267" s="77"/>
      <c r="U267" s="77"/>
      <c r="V267" s="87"/>
      <c r="W267" s="87"/>
      <c r="X267" s="87"/>
      <c r="Y267" s="77"/>
      <c r="Z267" s="88"/>
      <c r="AA267" s="35"/>
      <c r="AB267" s="35"/>
    </row>
    <row r="268" spans="1:28" x14ac:dyDescent="0.25">
      <c r="A268" s="68" t="str">
        <f t="shared" si="12"/>
        <v>285032</v>
      </c>
      <c r="B268" s="10">
        <f t="shared" si="13"/>
        <v>17.243099999999998</v>
      </c>
      <c r="C268" s="77" t="s">
        <v>4940</v>
      </c>
      <c r="D268" s="191" t="str">
        <f t="shared" si="14"/>
        <v>StrongLumio koncovky k profilu Slim 8, bílá (pár)</v>
      </c>
      <c r="E268" s="77" t="s">
        <v>1586</v>
      </c>
      <c r="F268" s="77" t="s">
        <v>1587</v>
      </c>
      <c r="G268" s="77" t="s">
        <v>1589</v>
      </c>
      <c r="H268" s="77" t="s">
        <v>1588</v>
      </c>
      <c r="I268" s="77" t="s">
        <v>1463</v>
      </c>
      <c r="J268" s="90">
        <v>10</v>
      </c>
      <c r="K268" s="91">
        <v>1</v>
      </c>
      <c r="L268" s="77" t="s">
        <v>227</v>
      </c>
      <c r="M268" s="78">
        <v>17.243099999999998</v>
      </c>
      <c r="N268" s="79">
        <v>0.67972999999999995</v>
      </c>
      <c r="O268" s="79">
        <v>1.74594</v>
      </c>
      <c r="P268" s="79">
        <v>244.37501</v>
      </c>
      <c r="Q268" s="77"/>
      <c r="R268" s="77"/>
      <c r="S268" s="77"/>
      <c r="T268" s="77"/>
      <c r="U268" s="77"/>
      <c r="V268" s="87"/>
      <c r="W268" s="87"/>
      <c r="X268" s="87"/>
      <c r="Y268" s="77"/>
      <c r="Z268" s="88"/>
      <c r="AA268" s="35"/>
      <c r="AB268" s="35"/>
    </row>
    <row r="269" spans="1:28" x14ac:dyDescent="0.25">
      <c r="A269" s="68" t="str">
        <f t="shared" si="12"/>
        <v>285033</v>
      </c>
      <c r="B269" s="10">
        <f t="shared" si="13"/>
        <v>17.243099999999998</v>
      </c>
      <c r="C269" s="77" t="s">
        <v>4941</v>
      </c>
      <c r="D269" s="191" t="str">
        <f t="shared" si="14"/>
        <v>StrongLumio koncovky k profilu Slim 8, černá (pár)</v>
      </c>
      <c r="E269" s="77" t="s">
        <v>1590</v>
      </c>
      <c r="F269" s="77" t="s">
        <v>1591</v>
      </c>
      <c r="G269" s="77" t="s">
        <v>1593</v>
      </c>
      <c r="H269" s="77" t="s">
        <v>1592</v>
      </c>
      <c r="I269" s="77" t="s">
        <v>1463</v>
      </c>
      <c r="J269" s="90">
        <v>10</v>
      </c>
      <c r="K269" s="91">
        <v>1</v>
      </c>
      <c r="L269" s="77" t="s">
        <v>227</v>
      </c>
      <c r="M269" s="78">
        <v>17.243099999999998</v>
      </c>
      <c r="N269" s="79">
        <v>0.67972999999999995</v>
      </c>
      <c r="O269" s="79">
        <v>1.7534799999999999</v>
      </c>
      <c r="P269" s="79">
        <v>244.37501</v>
      </c>
      <c r="Q269" s="77"/>
      <c r="R269" s="77"/>
      <c r="S269" s="77"/>
      <c r="T269" s="77"/>
      <c r="U269" s="77"/>
      <c r="V269" s="87"/>
      <c r="W269" s="87"/>
      <c r="X269" s="87"/>
      <c r="Y269" s="77"/>
      <c r="Z269" s="88"/>
      <c r="AA269" s="35"/>
      <c r="AB269" s="35"/>
    </row>
    <row r="270" spans="1:28" x14ac:dyDescent="0.25">
      <c r="A270" s="68" t="str">
        <f t="shared" si="12"/>
        <v>215852</v>
      </c>
      <c r="B270" s="10">
        <f t="shared" si="13"/>
        <v>16.735949999999999</v>
      </c>
      <c r="C270" s="77" t="s">
        <v>4942</v>
      </c>
      <c r="D270" s="191" t="str">
        <f t="shared" si="14"/>
        <v>StrongLumio koncovky k profilu Slim 8, šedá (pár)</v>
      </c>
      <c r="E270" s="77" t="s">
        <v>1594</v>
      </c>
      <c r="F270" s="77" t="s">
        <v>1594</v>
      </c>
      <c r="G270" s="77" t="s">
        <v>1596</v>
      </c>
      <c r="H270" s="77" t="s">
        <v>1595</v>
      </c>
      <c r="I270" s="77" t="s">
        <v>1463</v>
      </c>
      <c r="J270" s="90">
        <v>10</v>
      </c>
      <c r="K270" s="91">
        <v>1</v>
      </c>
      <c r="L270" s="77" t="s">
        <v>227</v>
      </c>
      <c r="M270" s="78">
        <v>16.735949999999999</v>
      </c>
      <c r="N270" s="79">
        <v>0.65973999999999999</v>
      </c>
      <c r="O270" s="79">
        <v>1.7534799999999999</v>
      </c>
      <c r="P270" s="79">
        <v>237.1875</v>
      </c>
      <c r="Q270" s="77"/>
      <c r="R270" s="77"/>
      <c r="S270" s="77"/>
      <c r="T270" s="77"/>
      <c r="U270" s="77"/>
      <c r="V270" s="87"/>
      <c r="W270" s="87"/>
      <c r="X270" s="87"/>
      <c r="Y270" s="77"/>
      <c r="Z270" s="88"/>
      <c r="AA270" s="35"/>
      <c r="AB270" s="35"/>
    </row>
    <row r="271" spans="1:28" x14ac:dyDescent="0.25">
      <c r="A271" s="68" t="str">
        <f t="shared" si="12"/>
        <v>285057</v>
      </c>
      <c r="B271" s="10">
        <f t="shared" si="13"/>
        <v>17.243099999999998</v>
      </c>
      <c r="C271" s="77" t="s">
        <v>4943</v>
      </c>
      <c r="D271" s="191" t="str">
        <f t="shared" si="14"/>
        <v>StrongLumio koncovky k profilu Smart 10, bílá (pár)</v>
      </c>
      <c r="E271" s="77" t="s">
        <v>1597</v>
      </c>
      <c r="F271" s="77" t="s">
        <v>1598</v>
      </c>
      <c r="G271" s="77" t="s">
        <v>1600</v>
      </c>
      <c r="H271" s="77" t="s">
        <v>1599</v>
      </c>
      <c r="I271" s="77" t="s">
        <v>1463</v>
      </c>
      <c r="J271" s="90">
        <v>10</v>
      </c>
      <c r="K271" s="91">
        <v>1</v>
      </c>
      <c r="L271" s="77" t="s">
        <v>227</v>
      </c>
      <c r="M271" s="78">
        <v>17.243099999999998</v>
      </c>
      <c r="N271" s="79">
        <v>0.67972999999999995</v>
      </c>
      <c r="O271" s="79">
        <v>1.79078</v>
      </c>
      <c r="P271" s="79">
        <v>244.37501</v>
      </c>
      <c r="Q271" s="77"/>
      <c r="R271" s="77"/>
      <c r="S271" s="77"/>
      <c r="T271" s="77"/>
      <c r="U271" s="77"/>
      <c r="V271" s="87"/>
      <c r="W271" s="87"/>
      <c r="X271" s="87"/>
      <c r="Y271" s="77"/>
      <c r="Z271" s="88"/>
      <c r="AA271" s="35"/>
      <c r="AB271" s="35"/>
    </row>
    <row r="272" spans="1:28" x14ac:dyDescent="0.25">
      <c r="A272" s="68" t="str">
        <f t="shared" si="12"/>
        <v>285058</v>
      </c>
      <c r="B272" s="10">
        <f t="shared" si="13"/>
        <v>17.243099999999998</v>
      </c>
      <c r="C272" s="77" t="s">
        <v>4944</v>
      </c>
      <c r="D272" s="191" t="str">
        <f t="shared" si="14"/>
        <v>StrongLumio koncovky k profilu Smart 10, černá (pár)</v>
      </c>
      <c r="E272" s="77" t="s">
        <v>1601</v>
      </c>
      <c r="F272" s="77" t="s">
        <v>1602</v>
      </c>
      <c r="G272" s="77" t="s">
        <v>1604</v>
      </c>
      <c r="H272" s="77" t="s">
        <v>1603</v>
      </c>
      <c r="I272" s="77" t="s">
        <v>1463</v>
      </c>
      <c r="J272" s="90">
        <v>10</v>
      </c>
      <c r="K272" s="91">
        <v>1</v>
      </c>
      <c r="L272" s="77" t="s">
        <v>227</v>
      </c>
      <c r="M272" s="78">
        <v>17.243099999999998</v>
      </c>
      <c r="N272" s="79">
        <v>0.67972999999999995</v>
      </c>
      <c r="O272" s="79">
        <v>1.7456499999999999</v>
      </c>
      <c r="P272" s="79">
        <v>244.37501</v>
      </c>
      <c r="Q272" s="77"/>
      <c r="R272" s="77"/>
      <c r="S272" s="77"/>
      <c r="T272" s="77"/>
      <c r="U272" s="77"/>
      <c r="V272" s="87"/>
      <c r="W272" s="87"/>
      <c r="X272" s="87"/>
      <c r="Y272" s="77"/>
      <c r="Z272" s="88"/>
      <c r="AA272" s="35"/>
      <c r="AB272" s="35"/>
    </row>
    <row r="273" spans="1:28" x14ac:dyDescent="0.25">
      <c r="A273" s="68" t="str">
        <f t="shared" si="12"/>
        <v>285056</v>
      </c>
      <c r="B273" s="10">
        <f t="shared" si="13"/>
        <v>17.243099999999998</v>
      </c>
      <c r="C273" s="77" t="s">
        <v>4945</v>
      </c>
      <c r="D273" s="191" t="str">
        <f t="shared" si="14"/>
        <v>StrongLumio koncovky k profilu Smart 10, šedá (pár)</v>
      </c>
      <c r="E273" s="77" t="s">
        <v>1605</v>
      </c>
      <c r="F273" s="77" t="s">
        <v>1605</v>
      </c>
      <c r="G273" s="77" t="s">
        <v>1607</v>
      </c>
      <c r="H273" s="77" t="s">
        <v>1606</v>
      </c>
      <c r="I273" s="77" t="s">
        <v>1463</v>
      </c>
      <c r="J273" s="90">
        <v>10</v>
      </c>
      <c r="K273" s="91">
        <v>1</v>
      </c>
      <c r="L273" s="77" t="s">
        <v>227</v>
      </c>
      <c r="M273" s="78">
        <v>17.243099999999998</v>
      </c>
      <c r="N273" s="79">
        <v>0.67972999999999995</v>
      </c>
      <c r="O273" s="79">
        <v>1.8277099999999999</v>
      </c>
      <c r="P273" s="79">
        <v>244.37501</v>
      </c>
      <c r="Q273" s="77"/>
      <c r="R273" s="77"/>
      <c r="S273" s="77"/>
      <c r="T273" s="77"/>
      <c r="U273" s="77"/>
      <c r="V273" s="87"/>
      <c r="W273" s="87"/>
      <c r="X273" s="87"/>
      <c r="Y273" s="77"/>
      <c r="Z273" s="88"/>
      <c r="AA273" s="35"/>
      <c r="AB273" s="35"/>
    </row>
    <row r="274" spans="1:28" x14ac:dyDescent="0.25">
      <c r="A274" s="68" t="str">
        <f t="shared" si="12"/>
        <v>356630</v>
      </c>
      <c r="B274" s="10">
        <f t="shared" si="13"/>
        <v>5.99</v>
      </c>
      <c r="C274" s="77" t="s">
        <v>4946</v>
      </c>
      <c r="D274" s="191" t="str">
        <f t="shared" si="14"/>
        <v>StrongLumio koncovky k profilu Smart-In 10, šedá (pár)</v>
      </c>
      <c r="E274" s="77" t="s">
        <v>1608</v>
      </c>
      <c r="F274" s="77" t="s">
        <v>1608</v>
      </c>
      <c r="G274" s="77" t="s">
        <v>1610</v>
      </c>
      <c r="H274" s="77" t="s">
        <v>1609</v>
      </c>
      <c r="I274" s="77" t="s">
        <v>1463</v>
      </c>
      <c r="J274" s="90">
        <v>10</v>
      </c>
      <c r="K274" s="91">
        <v>1</v>
      </c>
      <c r="L274" s="77" t="s">
        <v>227</v>
      </c>
      <c r="M274" s="78">
        <v>5.99</v>
      </c>
      <c r="N274" s="79">
        <v>0.28999999999999998</v>
      </c>
      <c r="O274" s="79">
        <v>2.48394</v>
      </c>
      <c r="P274" s="79">
        <v>99</v>
      </c>
      <c r="Q274" s="77"/>
      <c r="R274" s="77"/>
      <c r="S274" s="77"/>
      <c r="T274" s="77"/>
      <c r="U274" s="77"/>
      <c r="V274" s="87"/>
      <c r="W274" s="87"/>
      <c r="X274" s="87"/>
      <c r="Y274" s="77"/>
      <c r="Z274" s="88"/>
      <c r="AA274" s="35"/>
      <c r="AB274" s="35"/>
    </row>
    <row r="275" spans="1:28" x14ac:dyDescent="0.25">
      <c r="A275" s="68" t="str">
        <f t="shared" si="12"/>
        <v>413522</v>
      </c>
      <c r="B275" s="10">
        <f t="shared" si="13"/>
        <v>24.3432</v>
      </c>
      <c r="C275" s="77" t="s">
        <v>4947</v>
      </c>
      <c r="D275" s="191" t="str">
        <f t="shared" si="14"/>
        <v>StrongLumio koncovky k profilu Smart-In 16 bílá (pár)</v>
      </c>
      <c r="E275" s="77" t="s">
        <v>1611</v>
      </c>
      <c r="F275" s="77" t="s">
        <v>1612</v>
      </c>
      <c r="G275" s="77" t="s">
        <v>1614</v>
      </c>
      <c r="H275" s="77" t="s">
        <v>1613</v>
      </c>
      <c r="I275" s="77" t="s">
        <v>1463</v>
      </c>
      <c r="J275" s="90">
        <v>1</v>
      </c>
      <c r="K275" s="91">
        <v>10</v>
      </c>
      <c r="L275" s="77" t="s">
        <v>6565</v>
      </c>
      <c r="M275" s="78">
        <v>24.3432</v>
      </c>
      <c r="N275" s="79">
        <v>0.95962000000000003</v>
      </c>
      <c r="O275" s="79">
        <v>2.56135</v>
      </c>
      <c r="P275" s="79">
        <v>345</v>
      </c>
      <c r="Q275" s="77"/>
      <c r="R275" s="77"/>
      <c r="S275" s="77"/>
      <c r="T275" s="77"/>
      <c r="U275" s="77"/>
      <c r="V275" s="87"/>
      <c r="W275" s="87"/>
      <c r="X275" s="87"/>
      <c r="Y275" s="77"/>
      <c r="Z275" s="88"/>
      <c r="AA275" s="35"/>
      <c r="AB275" s="35"/>
    </row>
    <row r="276" spans="1:28" x14ac:dyDescent="0.25">
      <c r="A276" s="68" t="str">
        <f t="shared" si="12"/>
        <v>413521</v>
      </c>
      <c r="B276" s="10">
        <f t="shared" si="13"/>
        <v>24.3432</v>
      </c>
      <c r="C276" s="77" t="s">
        <v>4948</v>
      </c>
      <c r="D276" s="191" t="str">
        <f t="shared" si="14"/>
        <v>StrongLumio koncovky k profilu Smart-In 16 šedá (pár)</v>
      </c>
      <c r="E276" s="77" t="s">
        <v>1615</v>
      </c>
      <c r="F276" s="77" t="s">
        <v>1615</v>
      </c>
      <c r="G276" s="77" t="s">
        <v>1617</v>
      </c>
      <c r="H276" s="77" t="s">
        <v>1616</v>
      </c>
      <c r="I276" s="77" t="s">
        <v>1463</v>
      </c>
      <c r="J276" s="90">
        <v>1</v>
      </c>
      <c r="K276" s="91">
        <v>10</v>
      </c>
      <c r="L276" s="77" t="s">
        <v>6565</v>
      </c>
      <c r="M276" s="78">
        <v>24.3432</v>
      </c>
      <c r="N276" s="79">
        <v>0.95962000000000003</v>
      </c>
      <c r="O276" s="79">
        <v>2.50501</v>
      </c>
      <c r="P276" s="79">
        <v>345</v>
      </c>
      <c r="Q276" s="77"/>
      <c r="R276" s="77"/>
      <c r="S276" s="77"/>
      <c r="T276" s="77"/>
      <c r="U276" s="77"/>
      <c r="V276" s="87"/>
      <c r="W276" s="87"/>
      <c r="X276" s="87"/>
      <c r="Y276" s="77"/>
      <c r="Z276" s="88"/>
      <c r="AA276" s="35"/>
      <c r="AB276" s="35"/>
    </row>
    <row r="277" spans="1:28" x14ac:dyDescent="0.25">
      <c r="A277" s="68" t="str">
        <f t="shared" si="12"/>
        <v>516778</v>
      </c>
      <c r="B277" s="10">
        <f t="shared" si="13"/>
        <v>16.735949999999999</v>
      </c>
      <c r="C277" s="77" t="s">
        <v>236</v>
      </c>
      <c r="D277" s="191" t="str">
        <f t="shared" si="14"/>
        <v>StrongLumio koncovky k profilu Surface 10 gen2 bílá (pár)</v>
      </c>
      <c r="E277" s="77" t="s">
        <v>447</v>
      </c>
      <c r="F277" s="77" t="s">
        <v>448</v>
      </c>
      <c r="G277" s="77" t="s">
        <v>449</v>
      </c>
      <c r="H277" s="77" t="s">
        <v>450</v>
      </c>
      <c r="I277" s="77" t="s">
        <v>1463</v>
      </c>
      <c r="J277" s="90">
        <v>10</v>
      </c>
      <c r="K277" s="91">
        <v>1</v>
      </c>
      <c r="L277" s="77" t="s">
        <v>227</v>
      </c>
      <c r="M277" s="78">
        <v>16.735949999999999</v>
      </c>
      <c r="N277" s="79">
        <v>0.65973999999999999</v>
      </c>
      <c r="O277" s="79">
        <v>1.7539800000000001</v>
      </c>
      <c r="P277" s="79">
        <v>237.1875</v>
      </c>
      <c r="Q277" s="77"/>
      <c r="R277" s="77"/>
      <c r="S277" s="77"/>
      <c r="T277" s="77"/>
      <c r="U277" s="77"/>
      <c r="V277" s="87"/>
      <c r="W277" s="87"/>
      <c r="X277" s="87"/>
      <c r="Y277" s="77"/>
      <c r="Z277" s="88"/>
      <c r="AA277" s="35"/>
      <c r="AB277" s="35"/>
    </row>
    <row r="278" spans="1:28" x14ac:dyDescent="0.25">
      <c r="A278" s="68" t="str">
        <f t="shared" si="12"/>
        <v>516777</v>
      </c>
      <c r="B278" s="10">
        <f t="shared" si="13"/>
        <v>17.243099999999998</v>
      </c>
      <c r="C278" s="77" t="s">
        <v>252</v>
      </c>
      <c r="D278" s="191" t="str">
        <f t="shared" si="14"/>
        <v>StrongLumio koncovky k profilu Surface 10 gen2 černá (pár)</v>
      </c>
      <c r="E278" s="77" t="s">
        <v>459</v>
      </c>
      <c r="F278" s="77" t="s">
        <v>460</v>
      </c>
      <c r="G278" s="77" t="s">
        <v>461</v>
      </c>
      <c r="H278" s="77" t="s">
        <v>462</v>
      </c>
      <c r="I278" s="77" t="s">
        <v>1463</v>
      </c>
      <c r="J278" s="90">
        <v>10</v>
      </c>
      <c r="K278" s="91">
        <v>1</v>
      </c>
      <c r="L278" s="77" t="s">
        <v>227</v>
      </c>
      <c r="M278" s="78">
        <v>17.243099999999998</v>
      </c>
      <c r="N278" s="79">
        <v>0.67972999999999995</v>
      </c>
      <c r="O278" s="79">
        <v>1.74743</v>
      </c>
      <c r="P278" s="79">
        <v>244.37501</v>
      </c>
      <c r="Q278" s="77"/>
      <c r="R278" s="77"/>
      <c r="S278" s="77"/>
      <c r="T278" s="77"/>
      <c r="U278" s="77"/>
      <c r="V278" s="87"/>
      <c r="W278" s="87"/>
      <c r="X278" s="87"/>
      <c r="Y278" s="77"/>
      <c r="Z278" s="88"/>
      <c r="AA278" s="35"/>
      <c r="AB278" s="35"/>
    </row>
    <row r="279" spans="1:28" x14ac:dyDescent="0.25">
      <c r="A279" s="68" t="str">
        <f t="shared" si="12"/>
        <v>516767</v>
      </c>
      <c r="B279" s="10">
        <f t="shared" si="13"/>
        <v>16.735949999999999</v>
      </c>
      <c r="C279" s="77" t="s">
        <v>273</v>
      </c>
      <c r="D279" s="191" t="str">
        <f t="shared" si="14"/>
        <v>StrongLumio koncovky k profilu Surface 10 gen2 šedá (pár)</v>
      </c>
      <c r="E279" s="77" t="s">
        <v>478</v>
      </c>
      <c r="F279" s="77" t="s">
        <v>479</v>
      </c>
      <c r="G279" s="77" t="s">
        <v>480</v>
      </c>
      <c r="H279" s="77" t="s">
        <v>481</v>
      </c>
      <c r="I279" s="77" t="s">
        <v>1463</v>
      </c>
      <c r="J279" s="90">
        <v>10</v>
      </c>
      <c r="K279" s="91">
        <v>1</v>
      </c>
      <c r="L279" s="77" t="s">
        <v>227</v>
      </c>
      <c r="M279" s="78">
        <v>16.735949999999999</v>
      </c>
      <c r="N279" s="79">
        <v>0.65973999999999999</v>
      </c>
      <c r="O279" s="79">
        <v>1.7458400000000001</v>
      </c>
      <c r="P279" s="79">
        <v>237.1875</v>
      </c>
      <c r="Q279" s="77"/>
      <c r="R279" s="77"/>
      <c r="S279" s="77"/>
      <c r="T279" s="77"/>
      <c r="U279" s="77"/>
      <c r="V279" s="87"/>
      <c r="W279" s="87"/>
      <c r="X279" s="87"/>
      <c r="Y279" s="77"/>
      <c r="Z279" s="88"/>
      <c r="AA279" s="35"/>
      <c r="AB279" s="35"/>
    </row>
    <row r="280" spans="1:28" x14ac:dyDescent="0.25">
      <c r="A280" s="68" t="str">
        <f t="shared" si="12"/>
        <v>255928</v>
      </c>
      <c r="B280" s="10">
        <f t="shared" si="13"/>
        <v>5.6745000000000001</v>
      </c>
      <c r="C280" s="77" t="s">
        <v>4949</v>
      </c>
      <c r="D280" s="191" t="str">
        <f t="shared" si="14"/>
        <v>StrongLumio koncovky k profilu Uni šedá rovná (pár)</v>
      </c>
      <c r="E280" s="77" t="s">
        <v>1618</v>
      </c>
      <c r="F280" s="77" t="s">
        <v>1619</v>
      </c>
      <c r="G280" s="77" t="s">
        <v>1621</v>
      </c>
      <c r="H280" s="77" t="s">
        <v>1620</v>
      </c>
      <c r="I280" s="77" t="s">
        <v>1463</v>
      </c>
      <c r="J280" s="90">
        <v>10</v>
      </c>
      <c r="K280" s="91">
        <v>1</v>
      </c>
      <c r="L280" s="77" t="s">
        <v>160</v>
      </c>
      <c r="M280" s="78">
        <v>5.6745000000000001</v>
      </c>
      <c r="N280" s="79">
        <v>0.26207999999999998</v>
      </c>
      <c r="O280" s="79">
        <v>0.97633999999999999</v>
      </c>
      <c r="P280" s="79">
        <v>95.673289999999994</v>
      </c>
      <c r="Q280" s="77"/>
      <c r="R280" s="77"/>
      <c r="S280" s="77"/>
      <c r="T280" s="77"/>
      <c r="U280" s="77"/>
      <c r="V280" s="87"/>
      <c r="W280" s="87"/>
      <c r="X280" s="87"/>
      <c r="Y280" s="77"/>
      <c r="Z280" s="88"/>
      <c r="AA280" s="35"/>
      <c r="AB280" s="35"/>
    </row>
    <row r="281" spans="1:28" x14ac:dyDescent="0.25">
      <c r="A281" s="68" t="str">
        <f t="shared" si="12"/>
        <v>130659</v>
      </c>
      <c r="B281" s="10">
        <f t="shared" si="13"/>
        <v>23.937480000000001</v>
      </c>
      <c r="C281" s="77" t="s">
        <v>4950</v>
      </c>
      <c r="D281" s="191" t="str">
        <f t="shared" si="14"/>
        <v>StrongLumio koncovky k profilu Wide 24, šedá (pár)</v>
      </c>
      <c r="E281" s="77" t="s">
        <v>1622</v>
      </c>
      <c r="F281" s="77" t="s">
        <v>1622</v>
      </c>
      <c r="G281" s="77" t="s">
        <v>1624</v>
      </c>
      <c r="H281" s="77" t="s">
        <v>1623</v>
      </c>
      <c r="I281" s="77" t="s">
        <v>1463</v>
      </c>
      <c r="J281" s="90">
        <v>10</v>
      </c>
      <c r="K281" s="91">
        <v>10</v>
      </c>
      <c r="L281" s="77" t="s">
        <v>6565</v>
      </c>
      <c r="M281" s="78">
        <v>23.937480000000001</v>
      </c>
      <c r="N281" s="79">
        <v>0.94362000000000001</v>
      </c>
      <c r="O281" s="79">
        <v>2.5050500000000002</v>
      </c>
      <c r="P281" s="79">
        <v>339.25000999999997</v>
      </c>
      <c r="Q281" s="77"/>
      <c r="R281" s="77"/>
      <c r="S281" s="77"/>
      <c r="T281" s="77"/>
      <c r="U281" s="77"/>
      <c r="V281" s="87"/>
      <c r="W281" s="87"/>
      <c r="X281" s="87"/>
      <c r="Y281" s="77"/>
      <c r="Z281" s="88"/>
      <c r="AA281" s="35"/>
      <c r="AB281" s="35"/>
    </row>
    <row r="282" spans="1:28" x14ac:dyDescent="0.25">
      <c r="A282" s="68" t="str">
        <f t="shared" si="12"/>
        <v>529702</v>
      </c>
      <c r="B282" s="10">
        <f t="shared" si="13"/>
        <v>17.243099999999998</v>
      </c>
      <c r="C282" s="77" t="s">
        <v>4951</v>
      </c>
      <c r="D282" s="191" t="str">
        <f t="shared" si="14"/>
        <v>StrongLumio koncovky s dírou k profilu Slim 8 šedá (pár)</v>
      </c>
      <c r="E282" s="77" t="s">
        <v>1625</v>
      </c>
      <c r="F282" s="77" t="s">
        <v>1626</v>
      </c>
      <c r="G282" s="77" t="s">
        <v>1627</v>
      </c>
      <c r="H282" s="77" t="s">
        <v>1595</v>
      </c>
      <c r="I282" s="77" t="s">
        <v>1463</v>
      </c>
      <c r="J282" s="90">
        <v>10</v>
      </c>
      <c r="K282" s="91">
        <v>10</v>
      </c>
      <c r="L282" s="77" t="s">
        <v>6565</v>
      </c>
      <c r="M282" s="78">
        <v>17.243099999999998</v>
      </c>
      <c r="N282" s="79">
        <v>0.67972999999999995</v>
      </c>
      <c r="O282" s="79">
        <v>1.8143</v>
      </c>
      <c r="P282" s="79">
        <v>244.37501</v>
      </c>
      <c r="Q282" s="77"/>
      <c r="R282" s="77"/>
      <c r="S282" s="77"/>
      <c r="T282" s="77"/>
      <c r="U282" s="77"/>
      <c r="V282" s="87"/>
      <c r="W282" s="87"/>
      <c r="X282" s="87"/>
      <c r="Y282" s="77"/>
      <c r="Z282" s="88"/>
      <c r="AA282" s="35"/>
      <c r="AB282" s="35"/>
    </row>
    <row r="283" spans="1:28" x14ac:dyDescent="0.25">
      <c r="A283" s="68" t="str">
        <f t="shared" si="12"/>
        <v>546594</v>
      </c>
      <c r="B283" s="10">
        <f t="shared" si="13"/>
        <v>604.86779999999999</v>
      </c>
      <c r="C283" s="77" t="s">
        <v>4952</v>
      </c>
      <c r="D283" s="191" t="str">
        <f t="shared" si="14"/>
        <v>StrongLumio koupelnové LED světlo 600mm chrom</v>
      </c>
      <c r="E283" s="77" t="s">
        <v>1628</v>
      </c>
      <c r="F283" s="77" t="s">
        <v>1629</v>
      </c>
      <c r="G283" s="77" t="s">
        <v>6438</v>
      </c>
      <c r="H283" s="77" t="s">
        <v>1630</v>
      </c>
      <c r="I283" s="77" t="s">
        <v>795</v>
      </c>
      <c r="J283" s="90">
        <v>1</v>
      </c>
      <c r="K283" s="91">
        <v>1</v>
      </c>
      <c r="L283" s="77" t="s">
        <v>6565</v>
      </c>
      <c r="M283" s="78">
        <v>604.86779999999999</v>
      </c>
      <c r="N283" s="79">
        <v>22.954799999999999</v>
      </c>
      <c r="O283" s="79">
        <v>99.015140000000002</v>
      </c>
      <c r="P283" s="79">
        <v>7544.7947599999998</v>
      </c>
      <c r="Q283" s="77"/>
      <c r="R283" s="77"/>
      <c r="S283" s="77"/>
      <c r="T283" s="77"/>
      <c r="U283" s="77"/>
      <c r="V283" s="87"/>
      <c r="W283" s="87"/>
      <c r="X283" s="87"/>
      <c r="Y283" s="77"/>
      <c r="Z283" s="88"/>
      <c r="AA283" s="35"/>
      <c r="AB283" s="35"/>
    </row>
    <row r="284" spans="1:28" x14ac:dyDescent="0.25">
      <c r="A284" s="68" t="str">
        <f t="shared" si="12"/>
        <v>405293</v>
      </c>
      <c r="B284" s="10">
        <f t="shared" si="13"/>
        <v>772.92681000000005</v>
      </c>
      <c r="C284" s="77" t="s">
        <v>4953</v>
      </c>
      <c r="D284" s="191" t="str">
        <f t="shared" si="14"/>
        <v>StrongLumio koupelnové LED světlo Balneum, 500mm 7,5W IP44 230V</v>
      </c>
      <c r="E284" s="77" t="s">
        <v>1631</v>
      </c>
      <c r="F284" s="77" t="s">
        <v>1632</v>
      </c>
      <c r="G284" s="77" t="s">
        <v>1634</v>
      </c>
      <c r="H284" s="77" t="s">
        <v>1633</v>
      </c>
      <c r="I284" s="77" t="s">
        <v>795</v>
      </c>
      <c r="J284" s="90">
        <v>10</v>
      </c>
      <c r="K284" s="91">
        <v>1</v>
      </c>
      <c r="L284" s="77" t="s">
        <v>160</v>
      </c>
      <c r="M284" s="78">
        <v>772.92681000000005</v>
      </c>
      <c r="N284" s="79">
        <v>28.711099999999998</v>
      </c>
      <c r="O284" s="79">
        <v>135.61812</v>
      </c>
      <c r="P284" s="79">
        <v>9828.8852900000002</v>
      </c>
      <c r="Q284" s="77"/>
      <c r="R284" s="77"/>
      <c r="S284" s="77"/>
      <c r="T284" s="77"/>
      <c r="U284" s="77"/>
      <c r="V284" s="87"/>
      <c r="W284" s="87"/>
      <c r="X284" s="87"/>
      <c r="Y284" s="77"/>
      <c r="Z284" s="88"/>
      <c r="AA284" s="35"/>
      <c r="AB284" s="35"/>
    </row>
    <row r="285" spans="1:28" x14ac:dyDescent="0.25">
      <c r="A285" s="68" t="str">
        <f t="shared" si="12"/>
        <v>405291</v>
      </c>
      <c r="B285" s="10">
        <f t="shared" si="13"/>
        <v>512.27747999999997</v>
      </c>
      <c r="C285" s="77" t="s">
        <v>4954</v>
      </c>
      <c r="D285" s="191" t="str">
        <f t="shared" si="14"/>
        <v>StrongLumio koupelnové LED světlo Caracalla, 300mm 5,5W IP44 230V</v>
      </c>
      <c r="E285" s="77" t="s">
        <v>1635</v>
      </c>
      <c r="F285" s="77" t="s">
        <v>1636</v>
      </c>
      <c r="G285" s="77" t="s">
        <v>1638</v>
      </c>
      <c r="H285" s="77" t="s">
        <v>1637</v>
      </c>
      <c r="I285" s="77" t="s">
        <v>795</v>
      </c>
      <c r="J285" s="90">
        <v>25</v>
      </c>
      <c r="K285" s="91">
        <v>1</v>
      </c>
      <c r="L285" s="77" t="s">
        <v>160</v>
      </c>
      <c r="M285" s="78">
        <v>512.27747999999997</v>
      </c>
      <c r="N285" s="79">
        <v>19.029029999999999</v>
      </c>
      <c r="O285" s="79">
        <v>81.247590000000002</v>
      </c>
      <c r="P285" s="79">
        <v>6514.3510800000004</v>
      </c>
      <c r="Q285" s="77"/>
      <c r="R285" s="77"/>
      <c r="S285" s="77"/>
      <c r="T285" s="77"/>
      <c r="U285" s="77"/>
      <c r="V285" s="87"/>
      <c r="W285" s="87"/>
      <c r="X285" s="87"/>
      <c r="Y285" s="77"/>
      <c r="Z285" s="88"/>
      <c r="AA285" s="35"/>
      <c r="AB285" s="35"/>
    </row>
    <row r="286" spans="1:28" x14ac:dyDescent="0.25">
      <c r="A286" s="68" t="str">
        <f t="shared" ref="A286:A349" si="15">C286</f>
        <v>546595</v>
      </c>
      <c r="B286" s="10">
        <f t="shared" si="13"/>
        <v>631.92960000000005</v>
      </c>
      <c r="C286" s="77" t="s">
        <v>4955</v>
      </c>
      <c r="D286" s="191" t="str">
        <f t="shared" si="14"/>
        <v>StrongLumio koupelnové LED světlo kulaté 600mm černá</v>
      </c>
      <c r="E286" s="77" t="s">
        <v>1639</v>
      </c>
      <c r="F286" s="77" t="s">
        <v>1640</v>
      </c>
      <c r="G286" s="77" t="s">
        <v>6439</v>
      </c>
      <c r="H286" s="77" t="s">
        <v>1641</v>
      </c>
      <c r="I286" s="77" t="s">
        <v>795</v>
      </c>
      <c r="J286" s="90">
        <v>1</v>
      </c>
      <c r="K286" s="91">
        <v>1</v>
      </c>
      <c r="L286" s="77" t="s">
        <v>227</v>
      </c>
      <c r="M286" s="78">
        <v>631.92960000000005</v>
      </c>
      <c r="N286" s="79">
        <v>23.9818</v>
      </c>
      <c r="O286" s="79">
        <v>93.537369999999996</v>
      </c>
      <c r="P286" s="79">
        <v>7882.3490400000001</v>
      </c>
      <c r="Q286" s="77"/>
      <c r="R286" s="77"/>
      <c r="S286" s="77"/>
      <c r="T286" s="77"/>
      <c r="U286" s="77"/>
      <c r="V286" s="87"/>
      <c r="W286" s="87"/>
      <c r="X286" s="87"/>
      <c r="Y286" s="77"/>
      <c r="Z286" s="88"/>
      <c r="AA286" s="35"/>
      <c r="AB286" s="35"/>
    </row>
    <row r="287" spans="1:28" x14ac:dyDescent="0.25">
      <c r="A287" s="68" t="str">
        <f t="shared" si="15"/>
        <v>406056</v>
      </c>
      <c r="B287" s="10">
        <f t="shared" si="13"/>
        <v>10.76112</v>
      </c>
      <c r="C287" s="77" t="s">
        <v>4956</v>
      </c>
      <c r="D287" s="191" t="str">
        <f t="shared" si="14"/>
        <v>StrongLumio kovový držák pro LED pásek neon 4x10 mm</v>
      </c>
      <c r="E287" s="77" t="s">
        <v>1642</v>
      </c>
      <c r="F287" s="77" t="s">
        <v>1643</v>
      </c>
      <c r="G287" s="77" t="s">
        <v>6440</v>
      </c>
      <c r="H287" s="77" t="s">
        <v>794</v>
      </c>
      <c r="I287" s="77" t="s">
        <v>795</v>
      </c>
      <c r="J287" s="90">
        <v>100</v>
      </c>
      <c r="K287" s="91">
        <v>1</v>
      </c>
      <c r="L287" s="77" t="s">
        <v>227</v>
      </c>
      <c r="M287" s="78">
        <v>10.76112</v>
      </c>
      <c r="N287" s="79">
        <v>0.44835999999999998</v>
      </c>
      <c r="O287" s="79">
        <v>2.0076900000000002</v>
      </c>
      <c r="P287" s="79">
        <v>233.84805</v>
      </c>
      <c r="Q287" s="77"/>
      <c r="R287" s="77"/>
      <c r="S287" s="77"/>
      <c r="T287" s="77"/>
      <c r="U287" s="77"/>
      <c r="V287" s="87"/>
      <c r="W287" s="87"/>
      <c r="X287" s="87"/>
      <c r="Y287" s="77"/>
      <c r="Z287" s="88"/>
      <c r="AA287" s="35"/>
      <c r="AB287" s="35"/>
    </row>
    <row r="288" spans="1:28" x14ac:dyDescent="0.25">
      <c r="A288" s="68" t="str">
        <f t="shared" si="15"/>
        <v>535091</v>
      </c>
      <c r="B288" s="10">
        <f t="shared" ref="B288:B351" si="16">IF($B$1=1,M288,IF($B$1=2,N288,IF($B$1=3,O288,IF($B$1=4,P288))))</f>
        <v>17.816759999999999</v>
      </c>
      <c r="C288" s="77" t="s">
        <v>4957</v>
      </c>
      <c r="D288" s="191" t="str">
        <f t="shared" si="14"/>
        <v>StrongLumio kovový držák pro LED silikonový profil neon 8x16 mm</v>
      </c>
      <c r="E288" s="77" t="s">
        <v>1644</v>
      </c>
      <c r="F288" s="77" t="s">
        <v>1645</v>
      </c>
      <c r="G288" s="77" t="s">
        <v>1646</v>
      </c>
      <c r="H288" s="77" t="s">
        <v>794</v>
      </c>
      <c r="I288" s="77" t="s">
        <v>795</v>
      </c>
      <c r="J288" s="90">
        <v>100</v>
      </c>
      <c r="K288" s="91">
        <v>1</v>
      </c>
      <c r="L288" s="77" t="s">
        <v>227</v>
      </c>
      <c r="M288" s="78">
        <v>17.816759999999999</v>
      </c>
      <c r="N288" s="79">
        <v>0.72592999999999996</v>
      </c>
      <c r="O288" s="79">
        <v>2.0242599999999999</v>
      </c>
      <c r="P288" s="79">
        <v>233.84805</v>
      </c>
      <c r="Q288" s="77"/>
      <c r="R288" s="77"/>
      <c r="S288" s="77"/>
      <c r="T288" s="77"/>
      <c r="U288" s="77"/>
      <c r="V288" s="87"/>
      <c r="W288" s="87"/>
      <c r="X288" s="87"/>
      <c r="Y288" s="77"/>
      <c r="Z288" s="88"/>
      <c r="AA288" s="35"/>
      <c r="AB288" s="35"/>
    </row>
    <row r="289" spans="1:28" x14ac:dyDescent="0.25">
      <c r="A289" s="68" t="str">
        <f t="shared" si="15"/>
        <v>546637</v>
      </c>
      <c r="B289" s="10">
        <f t="shared" si="16"/>
        <v>16.141680000000001</v>
      </c>
      <c r="C289" s="77" t="s">
        <v>4958</v>
      </c>
      <c r="D289" s="191" t="str">
        <f t="shared" si="14"/>
        <v>StrongLumio kovový držák pro neon 6x12, 30mm</v>
      </c>
      <c r="E289" s="77" t="s">
        <v>1647</v>
      </c>
      <c r="F289" s="77" t="s">
        <v>1648</v>
      </c>
      <c r="G289" s="77" t="s">
        <v>6441</v>
      </c>
      <c r="H289" s="77" t="s">
        <v>1649</v>
      </c>
      <c r="I289" s="77" t="s">
        <v>795</v>
      </c>
      <c r="J289" s="90">
        <v>100</v>
      </c>
      <c r="K289" s="91">
        <v>1</v>
      </c>
      <c r="L289" s="77" t="s">
        <v>227</v>
      </c>
      <c r="M289" s="78">
        <v>16.141680000000001</v>
      </c>
      <c r="N289" s="79">
        <v>0.67523</v>
      </c>
      <c r="O289" s="79">
        <v>1.88859</v>
      </c>
      <c r="P289" s="79">
        <v>215.46</v>
      </c>
      <c r="Q289" s="77"/>
      <c r="R289" s="77"/>
      <c r="S289" s="77"/>
      <c r="T289" s="77"/>
      <c r="U289" s="77"/>
      <c r="V289" s="87"/>
      <c r="W289" s="87"/>
      <c r="X289" s="87"/>
      <c r="Y289" s="77"/>
      <c r="Z289" s="88"/>
      <c r="AA289" s="35"/>
      <c r="AB289" s="35"/>
    </row>
    <row r="290" spans="1:28" x14ac:dyDescent="0.25">
      <c r="A290" s="68" t="str">
        <f t="shared" si="15"/>
        <v>318491</v>
      </c>
      <c r="B290" s="10">
        <f t="shared" si="16"/>
        <v>382.59199999999998</v>
      </c>
      <c r="C290" s="77" t="s">
        <v>4959</v>
      </c>
      <c r="D290" s="191" t="str">
        <f t="shared" si="14"/>
        <v>StrongLumio krycí k LED profilu Pen8 naklapávací průsvitná 4100mm</v>
      </c>
      <c r="E290" s="77" t="s">
        <v>1650</v>
      </c>
      <c r="F290" s="77" t="s">
        <v>1651</v>
      </c>
      <c r="G290" s="77" t="s">
        <v>1653</v>
      </c>
      <c r="H290" s="77" t="s">
        <v>1652</v>
      </c>
      <c r="I290" s="77" t="s">
        <v>795</v>
      </c>
      <c r="J290" s="90">
        <v>20</v>
      </c>
      <c r="K290" s="91">
        <v>1</v>
      </c>
      <c r="L290" s="77" t="s">
        <v>6565</v>
      </c>
      <c r="M290" s="78">
        <v>382.59199999999998</v>
      </c>
      <c r="N290" s="79">
        <v>15.146879999999999</v>
      </c>
      <c r="O290" s="79">
        <v>39.487520000000004</v>
      </c>
      <c r="P290" s="79">
        <v>5419.3750099999997</v>
      </c>
      <c r="Q290" s="77"/>
      <c r="R290" s="77"/>
      <c r="S290" s="77"/>
      <c r="T290" s="77"/>
      <c r="U290" s="77"/>
      <c r="V290" s="87"/>
      <c r="W290" s="87"/>
      <c r="X290" s="87"/>
      <c r="Y290" s="77"/>
      <c r="Z290" s="88"/>
      <c r="AA290" s="35"/>
      <c r="AB290" s="35"/>
    </row>
    <row r="291" spans="1:28" x14ac:dyDescent="0.25">
      <c r="A291" s="68" t="str">
        <f t="shared" si="15"/>
        <v>215850</v>
      </c>
      <c r="B291" s="10">
        <f t="shared" si="16"/>
        <v>30.428999999999998</v>
      </c>
      <c r="C291" s="77" t="s">
        <v>4960</v>
      </c>
      <c r="D291" s="191" t="str">
        <f t="shared" si="14"/>
        <v>StrongLumio krycí lišta A k profilu Slim 8/Smart 10 násuvná transparentní 2000mm</v>
      </c>
      <c r="E291" s="77" t="s">
        <v>1654</v>
      </c>
      <c r="F291" s="77" t="s">
        <v>1655</v>
      </c>
      <c r="G291" s="77" t="s">
        <v>1657</v>
      </c>
      <c r="H291" s="77" t="s">
        <v>1656</v>
      </c>
      <c r="I291" s="77" t="s">
        <v>795</v>
      </c>
      <c r="J291" s="90">
        <v>20</v>
      </c>
      <c r="K291" s="91">
        <v>1</v>
      </c>
      <c r="L291" s="77" t="s">
        <v>6565</v>
      </c>
      <c r="M291" s="78">
        <v>30.428999999999998</v>
      </c>
      <c r="N291" s="79">
        <v>1.1995199999999999</v>
      </c>
      <c r="O291" s="79">
        <v>3.24763</v>
      </c>
      <c r="P291" s="79">
        <v>431.25</v>
      </c>
      <c r="Q291" s="77"/>
      <c r="R291" s="77"/>
      <c r="S291" s="77"/>
      <c r="T291" s="77"/>
      <c r="U291" s="77"/>
      <c r="V291" s="87"/>
      <c r="W291" s="87"/>
      <c r="X291" s="87"/>
      <c r="Y291" s="77"/>
      <c r="Z291" s="88"/>
      <c r="AA291" s="35"/>
      <c r="AB291" s="35"/>
    </row>
    <row r="292" spans="1:28" x14ac:dyDescent="0.25">
      <c r="A292" s="68" t="str">
        <f t="shared" si="15"/>
        <v>215845</v>
      </c>
      <c r="B292" s="10">
        <f t="shared" si="16"/>
        <v>20.495999999999999</v>
      </c>
      <c r="C292" s="77" t="s">
        <v>4961</v>
      </c>
      <c r="D292" s="191" t="str">
        <f t="shared" si="14"/>
        <v>StrongLumio krycí lišta A k profilu Slim 8/Smart 10 násuvná, 1000mm mléčná</v>
      </c>
      <c r="E292" s="77" t="s">
        <v>1658</v>
      </c>
      <c r="F292" s="77" t="s">
        <v>1659</v>
      </c>
      <c r="G292" s="77" t="s">
        <v>1661</v>
      </c>
      <c r="H292" s="77" t="s">
        <v>1660</v>
      </c>
      <c r="I292" s="77" t="s">
        <v>795</v>
      </c>
      <c r="J292" s="90">
        <v>20</v>
      </c>
      <c r="K292" s="91">
        <v>1</v>
      </c>
      <c r="L292" s="77" t="s">
        <v>6565</v>
      </c>
      <c r="M292" s="78">
        <v>20.495999999999999</v>
      </c>
      <c r="N292" s="79">
        <v>0.81144000000000005</v>
      </c>
      <c r="O292" s="79">
        <v>2.14689</v>
      </c>
      <c r="P292" s="79">
        <v>285.04673000000003</v>
      </c>
      <c r="Q292" s="77"/>
      <c r="R292" s="77"/>
      <c r="S292" s="77"/>
      <c r="T292" s="77"/>
      <c r="U292" s="77"/>
      <c r="V292" s="87"/>
      <c r="W292" s="87"/>
      <c r="X292" s="87"/>
      <c r="Y292" s="77"/>
      <c r="Z292" s="88"/>
      <c r="AA292" s="35"/>
      <c r="AB292" s="35"/>
    </row>
    <row r="293" spans="1:28" x14ac:dyDescent="0.25">
      <c r="A293" s="68" t="str">
        <f t="shared" si="15"/>
        <v>215847</v>
      </c>
      <c r="B293" s="10">
        <f t="shared" si="16"/>
        <v>15.616</v>
      </c>
      <c r="C293" s="77" t="s">
        <v>4962</v>
      </c>
      <c r="D293" s="191" t="str">
        <f t="shared" si="14"/>
        <v>StrongLumio krycí lišta A k profilu Slim 8/Smart 10 násuvná, 1000mm průsvitná</v>
      </c>
      <c r="E293" s="77" t="s">
        <v>1662</v>
      </c>
      <c r="F293" s="77" t="s">
        <v>1663</v>
      </c>
      <c r="G293" s="77" t="s">
        <v>1665</v>
      </c>
      <c r="H293" s="77" t="s">
        <v>1664</v>
      </c>
      <c r="I293" s="77" t="s">
        <v>795</v>
      </c>
      <c r="J293" s="90">
        <v>20</v>
      </c>
      <c r="K293" s="91">
        <v>1</v>
      </c>
      <c r="L293" s="77" t="s">
        <v>6565</v>
      </c>
      <c r="M293" s="78">
        <v>15.616</v>
      </c>
      <c r="N293" s="79">
        <v>0.61824000000000001</v>
      </c>
      <c r="O293" s="79">
        <v>2.2060300000000002</v>
      </c>
      <c r="P293" s="79">
        <v>213.78505999999999</v>
      </c>
      <c r="Q293" s="77"/>
      <c r="R293" s="77"/>
      <c r="S293" s="77"/>
      <c r="T293" s="77"/>
      <c r="U293" s="77"/>
      <c r="V293" s="87"/>
      <c r="W293" s="87"/>
      <c r="X293" s="87"/>
      <c r="Y293" s="77"/>
      <c r="Z293" s="88"/>
      <c r="AA293" s="35"/>
      <c r="AB293" s="35"/>
    </row>
    <row r="294" spans="1:28" x14ac:dyDescent="0.25">
      <c r="A294" s="68" t="str">
        <f t="shared" si="15"/>
        <v>215846</v>
      </c>
      <c r="B294" s="10">
        <f t="shared" si="16"/>
        <v>35.136000000000003</v>
      </c>
      <c r="C294" s="77" t="s">
        <v>4963</v>
      </c>
      <c r="D294" s="191" t="str">
        <f t="shared" si="14"/>
        <v>StrongLumio krycí lišta A k profilu Slim 8/Smart 10 násuvná, 2000mm mléčná</v>
      </c>
      <c r="E294" s="77" t="s">
        <v>1666</v>
      </c>
      <c r="F294" s="77" t="s">
        <v>1667</v>
      </c>
      <c r="G294" s="77" t="s">
        <v>1669</v>
      </c>
      <c r="H294" s="77" t="s">
        <v>1668</v>
      </c>
      <c r="I294" s="77" t="s">
        <v>795</v>
      </c>
      <c r="J294" s="90">
        <v>20</v>
      </c>
      <c r="K294" s="91">
        <v>1</v>
      </c>
      <c r="L294" s="77" t="s">
        <v>227</v>
      </c>
      <c r="M294" s="78">
        <v>35.136000000000003</v>
      </c>
      <c r="N294" s="79">
        <v>1.3910400000000001</v>
      </c>
      <c r="O294" s="79">
        <v>3.6118700000000001</v>
      </c>
      <c r="P294" s="79">
        <v>474.375</v>
      </c>
      <c r="Q294" s="77"/>
      <c r="R294" s="77"/>
      <c r="S294" s="77"/>
      <c r="T294" s="77"/>
      <c r="U294" s="77"/>
      <c r="V294" s="87"/>
      <c r="W294" s="87"/>
      <c r="X294" s="87"/>
      <c r="Y294" s="77"/>
      <c r="Z294" s="88"/>
      <c r="AA294" s="35"/>
      <c r="AB294" s="35"/>
    </row>
    <row r="295" spans="1:28" x14ac:dyDescent="0.25">
      <c r="A295" s="68" t="str">
        <f t="shared" si="15"/>
        <v>215848</v>
      </c>
      <c r="B295" s="10">
        <f t="shared" si="16"/>
        <v>28.303999999999998</v>
      </c>
      <c r="C295" s="77" t="s">
        <v>4964</v>
      </c>
      <c r="D295" s="191" t="str">
        <f t="shared" si="14"/>
        <v>StrongLumio krycí lišta A k profilu Slim 8/Smart 10 násuvná, 2000mm průsvitná</v>
      </c>
      <c r="E295" s="77" t="s">
        <v>1670</v>
      </c>
      <c r="F295" s="77" t="s">
        <v>1671</v>
      </c>
      <c r="G295" s="77" t="s">
        <v>1672</v>
      </c>
      <c r="H295" s="77" t="s">
        <v>1656</v>
      </c>
      <c r="I295" s="77" t="s">
        <v>795</v>
      </c>
      <c r="J295" s="90">
        <v>20</v>
      </c>
      <c r="K295" s="91">
        <v>1</v>
      </c>
      <c r="L295" s="77" t="s">
        <v>227</v>
      </c>
      <c r="M295" s="78">
        <v>28.303999999999998</v>
      </c>
      <c r="N295" s="79">
        <v>1.12056</v>
      </c>
      <c r="O295" s="79">
        <v>2.90957</v>
      </c>
      <c r="P295" s="79">
        <v>388.125</v>
      </c>
      <c r="Q295" s="77"/>
      <c r="R295" s="77"/>
      <c r="S295" s="77"/>
      <c r="T295" s="77"/>
      <c r="U295" s="77"/>
      <c r="V295" s="87"/>
      <c r="W295" s="87"/>
      <c r="X295" s="87"/>
      <c r="Y295" s="77"/>
      <c r="Z295" s="88"/>
      <c r="AA295" s="35"/>
      <c r="AB295" s="35"/>
    </row>
    <row r="296" spans="1:28" x14ac:dyDescent="0.25">
      <c r="A296" s="68" t="str">
        <f t="shared" si="15"/>
        <v>285031</v>
      </c>
      <c r="B296" s="10">
        <f t="shared" si="16"/>
        <v>56.607999999999997</v>
      </c>
      <c r="C296" s="77" t="s">
        <v>4965</v>
      </c>
      <c r="D296" s="191" t="str">
        <f t="shared" si="14"/>
        <v>StrongLumio krycí lišta A k profilu Slim 8/Smart 10 násuvná, 3000mm průsvitná</v>
      </c>
      <c r="E296" s="77" t="s">
        <v>1673</v>
      </c>
      <c r="F296" s="77" t="s">
        <v>1674</v>
      </c>
      <c r="G296" s="77" t="s">
        <v>1676</v>
      </c>
      <c r="H296" s="77" t="s">
        <v>1675</v>
      </c>
      <c r="I296" s="77" t="s">
        <v>795</v>
      </c>
      <c r="J296" s="90">
        <v>20</v>
      </c>
      <c r="K296" s="91">
        <v>1</v>
      </c>
      <c r="L296" s="77" t="s">
        <v>227</v>
      </c>
      <c r="M296" s="78">
        <v>56.607999999999997</v>
      </c>
      <c r="N296" s="79">
        <v>2.24112</v>
      </c>
      <c r="O296" s="79">
        <v>5.81914</v>
      </c>
      <c r="P296" s="79">
        <v>776.25</v>
      </c>
      <c r="Q296" s="77"/>
      <c r="R296" s="77"/>
      <c r="S296" s="77"/>
      <c r="T296" s="77"/>
      <c r="U296" s="77"/>
      <c r="V296" s="87"/>
      <c r="W296" s="87"/>
      <c r="X296" s="87"/>
      <c r="Y296" s="77"/>
      <c r="Z296" s="88"/>
      <c r="AA296" s="35"/>
      <c r="AB296" s="35"/>
    </row>
    <row r="297" spans="1:28" x14ac:dyDescent="0.25">
      <c r="A297" s="68" t="str">
        <f t="shared" si="15"/>
        <v>279388</v>
      </c>
      <c r="B297" s="10">
        <f t="shared" si="16"/>
        <v>36.514800000000001</v>
      </c>
      <c r="C297" s="77" t="s">
        <v>4966</v>
      </c>
      <c r="D297" s="191" t="str">
        <f t="shared" si="14"/>
        <v>StrongLumio krycí lišta B k LED profilům násuvná transparentní 2000mm</v>
      </c>
      <c r="E297" s="77" t="s">
        <v>1677</v>
      </c>
      <c r="F297" s="77" t="s">
        <v>1678</v>
      </c>
      <c r="G297" s="77" t="s">
        <v>1680</v>
      </c>
      <c r="H297" s="77" t="s">
        <v>1679</v>
      </c>
      <c r="I297" s="77" t="s">
        <v>795</v>
      </c>
      <c r="J297" s="90">
        <v>20</v>
      </c>
      <c r="K297" s="91">
        <v>1</v>
      </c>
      <c r="L297" s="77" t="s">
        <v>6565</v>
      </c>
      <c r="M297" s="78">
        <v>36.514800000000001</v>
      </c>
      <c r="N297" s="79">
        <v>1.4394199999999999</v>
      </c>
      <c r="O297" s="79">
        <v>5.0789799999999996</v>
      </c>
      <c r="P297" s="79">
        <v>517.5</v>
      </c>
      <c r="Q297" s="77"/>
      <c r="R297" s="77"/>
      <c r="S297" s="77"/>
      <c r="T297" s="77"/>
      <c r="U297" s="77"/>
      <c r="V297" s="87"/>
      <c r="W297" s="87"/>
      <c r="X297" s="87"/>
      <c r="Y297" s="77"/>
      <c r="Z297" s="88"/>
      <c r="AA297" s="35"/>
      <c r="AB297" s="35"/>
    </row>
    <row r="298" spans="1:28" x14ac:dyDescent="0.25">
      <c r="A298" s="68" t="str">
        <f t="shared" si="15"/>
        <v>130642</v>
      </c>
      <c r="B298" s="10">
        <f t="shared" si="16"/>
        <v>20.495999999999999</v>
      </c>
      <c r="C298" s="77" t="s">
        <v>4967</v>
      </c>
      <c r="D298" s="191" t="str">
        <f t="shared" si="14"/>
        <v>StrongLumio krycí lišta B k LED profilům násuvná, 1000mm mléčná</v>
      </c>
      <c r="E298" s="77" t="s">
        <v>1681</v>
      </c>
      <c r="F298" s="77" t="s">
        <v>1682</v>
      </c>
      <c r="G298" s="77" t="s">
        <v>1684</v>
      </c>
      <c r="H298" s="77" t="s">
        <v>1683</v>
      </c>
      <c r="I298" s="77" t="s">
        <v>795</v>
      </c>
      <c r="J298" s="90">
        <v>20</v>
      </c>
      <c r="K298" s="91">
        <v>1</v>
      </c>
      <c r="L298" s="77" t="s">
        <v>227</v>
      </c>
      <c r="M298" s="78">
        <v>20.495999999999999</v>
      </c>
      <c r="N298" s="79">
        <v>0.81144000000000005</v>
      </c>
      <c r="O298" s="79">
        <v>2.1749700000000001</v>
      </c>
      <c r="P298" s="79">
        <v>287.50000999999997</v>
      </c>
      <c r="Q298" s="77"/>
      <c r="R298" s="77"/>
      <c r="S298" s="77"/>
      <c r="T298" s="77"/>
      <c r="U298" s="77"/>
      <c r="V298" s="87"/>
      <c r="W298" s="87"/>
      <c r="X298" s="87"/>
      <c r="Y298" s="77"/>
      <c r="Z298" s="88"/>
      <c r="AA298" s="35"/>
      <c r="AB298" s="35"/>
    </row>
    <row r="299" spans="1:28" x14ac:dyDescent="0.25">
      <c r="A299" s="68" t="str">
        <f t="shared" si="15"/>
        <v>130645</v>
      </c>
      <c r="B299" s="10">
        <f t="shared" si="16"/>
        <v>16.591999999999999</v>
      </c>
      <c r="C299" s="77" t="s">
        <v>4968</v>
      </c>
      <c r="D299" s="191" t="str">
        <f t="shared" si="14"/>
        <v>StrongLumio krycí lišta B k LED profilům násuvná, 1000mm průsvitná</v>
      </c>
      <c r="E299" s="77" t="s">
        <v>1685</v>
      </c>
      <c r="F299" s="77" t="s">
        <v>1686</v>
      </c>
      <c r="G299" s="77" t="s">
        <v>1688</v>
      </c>
      <c r="H299" s="77" t="s">
        <v>1687</v>
      </c>
      <c r="I299" s="77" t="s">
        <v>795</v>
      </c>
      <c r="J299" s="90">
        <v>20</v>
      </c>
      <c r="K299" s="91">
        <v>1</v>
      </c>
      <c r="L299" s="77" t="s">
        <v>227</v>
      </c>
      <c r="M299" s="78">
        <v>16.591999999999999</v>
      </c>
      <c r="N299" s="79">
        <v>0.65688000000000002</v>
      </c>
      <c r="O299" s="79">
        <v>1.87866</v>
      </c>
      <c r="P299" s="79">
        <v>229.99999</v>
      </c>
      <c r="Q299" s="77"/>
      <c r="R299" s="77"/>
      <c r="S299" s="77"/>
      <c r="T299" s="77"/>
      <c r="U299" s="77"/>
      <c r="V299" s="87"/>
      <c r="W299" s="87"/>
      <c r="X299" s="87"/>
      <c r="Y299" s="77"/>
      <c r="Z299" s="88"/>
      <c r="AA299" s="35"/>
      <c r="AB299" s="35"/>
    </row>
    <row r="300" spans="1:28" x14ac:dyDescent="0.25">
      <c r="A300" s="68" t="str">
        <f t="shared" si="15"/>
        <v>130643</v>
      </c>
      <c r="B300" s="10">
        <f t="shared" si="16"/>
        <v>36.112000000000002</v>
      </c>
      <c r="C300" s="77" t="s">
        <v>4969</v>
      </c>
      <c r="D300" s="191" t="str">
        <f t="shared" si="14"/>
        <v>StrongLumio krycí lišta B k LED profilům násuvná, 2000mm mléčná</v>
      </c>
      <c r="E300" s="77" t="s">
        <v>1689</v>
      </c>
      <c r="F300" s="77" t="s">
        <v>1690</v>
      </c>
      <c r="G300" s="77" t="s">
        <v>1692</v>
      </c>
      <c r="H300" s="77" t="s">
        <v>1691</v>
      </c>
      <c r="I300" s="77" t="s">
        <v>795</v>
      </c>
      <c r="J300" s="90">
        <v>20</v>
      </c>
      <c r="K300" s="91">
        <v>1</v>
      </c>
      <c r="L300" s="77" t="s">
        <v>227</v>
      </c>
      <c r="M300" s="78">
        <v>36.112000000000002</v>
      </c>
      <c r="N300" s="79">
        <v>1.4296800000000001</v>
      </c>
      <c r="O300" s="79">
        <v>3.7122099999999998</v>
      </c>
      <c r="P300" s="79">
        <v>488.74999000000003</v>
      </c>
      <c r="Q300" s="77"/>
      <c r="R300" s="77"/>
      <c r="S300" s="77"/>
      <c r="T300" s="77"/>
      <c r="U300" s="77"/>
      <c r="V300" s="87"/>
      <c r="W300" s="87"/>
      <c r="X300" s="87"/>
      <c r="Y300" s="77"/>
      <c r="Z300" s="88"/>
      <c r="AA300" s="35"/>
      <c r="AB300" s="35"/>
    </row>
    <row r="301" spans="1:28" x14ac:dyDescent="0.25">
      <c r="A301" s="68" t="str">
        <f t="shared" si="15"/>
        <v>130646</v>
      </c>
      <c r="B301" s="10">
        <f t="shared" si="16"/>
        <v>29.28</v>
      </c>
      <c r="C301" s="77" t="s">
        <v>4970</v>
      </c>
      <c r="D301" s="191" t="str">
        <f t="shared" si="14"/>
        <v>StrongLumio krycí lišta B k LED profilům násuvná, 2000mm průsvitná</v>
      </c>
      <c r="E301" s="77" t="s">
        <v>1693</v>
      </c>
      <c r="F301" s="77" t="s">
        <v>1694</v>
      </c>
      <c r="G301" s="77" t="s">
        <v>1696</v>
      </c>
      <c r="H301" s="77" t="s">
        <v>1695</v>
      </c>
      <c r="I301" s="77" t="s">
        <v>795</v>
      </c>
      <c r="J301" s="90">
        <v>20</v>
      </c>
      <c r="K301" s="91">
        <v>1</v>
      </c>
      <c r="L301" s="77" t="s">
        <v>227</v>
      </c>
      <c r="M301" s="78">
        <v>29.28</v>
      </c>
      <c r="N301" s="79">
        <v>1.1592</v>
      </c>
      <c r="O301" s="79">
        <v>3.0766300000000002</v>
      </c>
      <c r="P301" s="79">
        <v>402.49999000000003</v>
      </c>
      <c r="Q301" s="77"/>
      <c r="R301" s="77"/>
      <c r="S301" s="77"/>
      <c r="T301" s="77"/>
      <c r="U301" s="77"/>
      <c r="V301" s="87"/>
      <c r="W301" s="87"/>
      <c r="X301" s="87"/>
      <c r="Y301" s="77"/>
      <c r="Z301" s="88"/>
      <c r="AA301" s="35"/>
      <c r="AB301" s="35"/>
    </row>
    <row r="302" spans="1:28" x14ac:dyDescent="0.25">
      <c r="A302" s="68" t="str">
        <f t="shared" si="15"/>
        <v>130649</v>
      </c>
      <c r="B302" s="10">
        <f t="shared" si="16"/>
        <v>380.20080000000002</v>
      </c>
      <c r="C302" s="77" t="s">
        <v>4971</v>
      </c>
      <c r="D302" s="191" t="str">
        <f t="shared" si="14"/>
        <v>StrongLumio krycí lišta C k LED profilům čočka naklapávací, 2000mm transparentní</v>
      </c>
      <c r="E302" s="77" t="s">
        <v>1697</v>
      </c>
      <c r="F302" s="77" t="s">
        <v>1698</v>
      </c>
      <c r="G302" s="77" t="s">
        <v>1700</v>
      </c>
      <c r="H302" s="77" t="s">
        <v>1699</v>
      </c>
      <c r="I302" s="77" t="s">
        <v>795</v>
      </c>
      <c r="J302" s="90">
        <v>20</v>
      </c>
      <c r="K302" s="91">
        <v>1</v>
      </c>
      <c r="L302" s="77" t="s">
        <v>6565</v>
      </c>
      <c r="M302" s="78">
        <v>380.20080000000002</v>
      </c>
      <c r="N302" s="79">
        <v>14.915039999999999</v>
      </c>
      <c r="O302" s="79">
        <v>38.727400000000003</v>
      </c>
      <c r="P302" s="79">
        <v>5287.6168100000004</v>
      </c>
      <c r="Q302" s="77"/>
      <c r="R302" s="77"/>
      <c r="S302" s="77"/>
      <c r="T302" s="77"/>
      <c r="U302" s="77"/>
      <c r="V302" s="87"/>
      <c r="W302" s="87"/>
      <c r="X302" s="87"/>
      <c r="Y302" s="77"/>
      <c r="Z302" s="88"/>
      <c r="AA302" s="35"/>
      <c r="AB302" s="35"/>
    </row>
    <row r="303" spans="1:28" x14ac:dyDescent="0.25">
      <c r="A303" s="68" t="str">
        <f t="shared" si="15"/>
        <v>416702</v>
      </c>
      <c r="B303" s="10">
        <f t="shared" si="16"/>
        <v>68.319999999999993</v>
      </c>
      <c r="C303" s="77" t="s">
        <v>4972</v>
      </c>
      <c r="D303" s="191" t="str">
        <f t="shared" si="14"/>
        <v>StrongLumio krycí lišta C k LED profilům naklapávací 1000mm černá</v>
      </c>
      <c r="E303" s="77" t="s">
        <v>1701</v>
      </c>
      <c r="F303" s="77" t="s">
        <v>1702</v>
      </c>
      <c r="G303" s="77" t="s">
        <v>1704</v>
      </c>
      <c r="H303" s="77" t="s">
        <v>1703</v>
      </c>
      <c r="I303" s="77" t="s">
        <v>795</v>
      </c>
      <c r="J303" s="90">
        <v>20</v>
      </c>
      <c r="K303" s="91">
        <v>1</v>
      </c>
      <c r="L303" s="77" t="s">
        <v>6565</v>
      </c>
      <c r="M303" s="78">
        <v>68.319999999999993</v>
      </c>
      <c r="N303" s="79">
        <v>2.7048000000000001</v>
      </c>
      <c r="O303" s="79">
        <v>7.02311</v>
      </c>
      <c r="P303" s="79">
        <v>963.12499000000003</v>
      </c>
      <c r="Q303" s="77"/>
      <c r="R303" s="77"/>
      <c r="S303" s="77"/>
      <c r="T303" s="77"/>
      <c r="U303" s="77"/>
      <c r="V303" s="87"/>
      <c r="W303" s="87"/>
      <c r="X303" s="87"/>
      <c r="Y303" s="77"/>
      <c r="Z303" s="88"/>
      <c r="AA303" s="35"/>
      <c r="AB303" s="35"/>
    </row>
    <row r="304" spans="1:28" x14ac:dyDescent="0.25">
      <c r="A304" s="68" t="str">
        <f t="shared" si="15"/>
        <v>416707</v>
      </c>
      <c r="B304" s="10">
        <f t="shared" si="16"/>
        <v>138.59200000000001</v>
      </c>
      <c r="C304" s="77" t="s">
        <v>393</v>
      </c>
      <c r="D304" s="191" t="str">
        <f t="shared" si="14"/>
        <v>StrongLumio krycí lišta C k LED profilům naklapávací 2000mm černá</v>
      </c>
      <c r="E304" s="77" t="s">
        <v>1705</v>
      </c>
      <c r="F304" s="77" t="s">
        <v>1706</v>
      </c>
      <c r="G304" s="77" t="s">
        <v>1708</v>
      </c>
      <c r="H304" s="77" t="s">
        <v>1707</v>
      </c>
      <c r="I304" s="77" t="s">
        <v>795</v>
      </c>
      <c r="J304" s="90">
        <v>20</v>
      </c>
      <c r="K304" s="91">
        <v>1</v>
      </c>
      <c r="L304" s="77" t="s">
        <v>227</v>
      </c>
      <c r="M304" s="78">
        <v>138.59200000000001</v>
      </c>
      <c r="N304" s="79">
        <v>5.4868800000000002</v>
      </c>
      <c r="O304" s="79">
        <v>14.24686</v>
      </c>
      <c r="P304" s="79">
        <v>1897.5</v>
      </c>
      <c r="Q304" s="77"/>
      <c r="R304" s="77"/>
      <c r="S304" s="77"/>
      <c r="T304" s="77"/>
      <c r="U304" s="77"/>
      <c r="V304" s="87"/>
      <c r="W304" s="87"/>
      <c r="X304" s="87"/>
      <c r="Y304" s="77"/>
      <c r="Z304" s="88"/>
      <c r="AA304" s="35"/>
      <c r="AB304" s="35"/>
    </row>
    <row r="305" spans="1:28" x14ac:dyDescent="0.25">
      <c r="A305" s="68" t="str">
        <f t="shared" si="15"/>
        <v>416709</v>
      </c>
      <c r="B305" s="10">
        <f t="shared" si="16"/>
        <v>206.91200000000001</v>
      </c>
      <c r="C305" s="77" t="s">
        <v>405</v>
      </c>
      <c r="D305" s="191" t="str">
        <f t="shared" si="14"/>
        <v>StrongLumio krycí lišta C k LED profilům naklapávací 3000mm černá</v>
      </c>
      <c r="E305" s="77" t="s">
        <v>1709</v>
      </c>
      <c r="F305" s="77" t="s">
        <v>1710</v>
      </c>
      <c r="G305" s="77" t="s">
        <v>1712</v>
      </c>
      <c r="H305" s="77" t="s">
        <v>1711</v>
      </c>
      <c r="I305" s="77" t="s">
        <v>795</v>
      </c>
      <c r="J305" s="90">
        <v>20</v>
      </c>
      <c r="K305" s="91">
        <v>1</v>
      </c>
      <c r="L305" s="77" t="s">
        <v>227</v>
      </c>
      <c r="M305" s="78">
        <v>206.91200000000001</v>
      </c>
      <c r="N305" s="79">
        <v>8.1916799999999999</v>
      </c>
      <c r="O305" s="79">
        <v>21.26998</v>
      </c>
      <c r="P305" s="79">
        <v>2817.4999899999998</v>
      </c>
      <c r="Q305" s="77"/>
      <c r="R305" s="77"/>
      <c r="S305" s="77"/>
      <c r="T305" s="77"/>
      <c r="U305" s="77"/>
      <c r="V305" s="87"/>
      <c r="W305" s="87"/>
      <c r="X305" s="87"/>
      <c r="Y305" s="77"/>
      <c r="Z305" s="88"/>
      <c r="AA305" s="35"/>
      <c r="AB305" s="35"/>
    </row>
    <row r="306" spans="1:28" x14ac:dyDescent="0.25">
      <c r="A306" s="68" t="str">
        <f t="shared" si="15"/>
        <v>416710</v>
      </c>
      <c r="B306" s="10">
        <f t="shared" si="16"/>
        <v>265.47199999999998</v>
      </c>
      <c r="C306" s="77" t="s">
        <v>411</v>
      </c>
      <c r="D306" s="191" t="str">
        <f t="shared" si="14"/>
        <v>StrongLumio krycí lišta C k LED profilům naklapávací 4100mm černá</v>
      </c>
      <c r="E306" s="77" t="s">
        <v>1713</v>
      </c>
      <c r="F306" s="77" t="s">
        <v>413</v>
      </c>
      <c r="G306" s="77" t="s">
        <v>1715</v>
      </c>
      <c r="H306" s="77" t="s">
        <v>1714</v>
      </c>
      <c r="I306" s="77" t="s">
        <v>795</v>
      </c>
      <c r="J306" s="90">
        <v>20</v>
      </c>
      <c r="K306" s="91">
        <v>1</v>
      </c>
      <c r="L306" s="77" t="s">
        <v>227</v>
      </c>
      <c r="M306" s="78">
        <v>265.47199999999998</v>
      </c>
      <c r="N306" s="79">
        <v>10.51008</v>
      </c>
      <c r="O306" s="79">
        <v>27.289770000000001</v>
      </c>
      <c r="P306" s="79">
        <v>3622.5</v>
      </c>
      <c r="Q306" s="77"/>
      <c r="R306" s="77"/>
      <c r="S306" s="77"/>
      <c r="T306" s="77"/>
      <c r="U306" s="77"/>
      <c r="V306" s="87"/>
      <c r="W306" s="87"/>
      <c r="X306" s="87"/>
      <c r="Y306" s="77"/>
      <c r="Z306" s="88"/>
      <c r="AA306" s="35"/>
      <c r="AB306" s="35"/>
    </row>
    <row r="307" spans="1:28" x14ac:dyDescent="0.25">
      <c r="A307" s="68" t="str">
        <f t="shared" si="15"/>
        <v>221007</v>
      </c>
      <c r="B307" s="10">
        <f t="shared" si="16"/>
        <v>59.536000000000001</v>
      </c>
      <c r="C307" s="77" t="s">
        <v>417</v>
      </c>
      <c r="D307" s="191" t="str">
        <f t="shared" si="14"/>
        <v>StrongLumio krycí lišta C k LED profilům naklapávací, 1000mm mléčná</v>
      </c>
      <c r="E307" s="77" t="s">
        <v>1716</v>
      </c>
      <c r="F307" s="77" t="s">
        <v>418</v>
      </c>
      <c r="G307" s="77" t="s">
        <v>1718</v>
      </c>
      <c r="H307" s="77" t="s">
        <v>1717</v>
      </c>
      <c r="I307" s="77" t="s">
        <v>795</v>
      </c>
      <c r="J307" s="90">
        <v>20</v>
      </c>
      <c r="K307" s="91">
        <v>1</v>
      </c>
      <c r="L307" s="77" t="s">
        <v>227</v>
      </c>
      <c r="M307" s="78">
        <v>59.536000000000001</v>
      </c>
      <c r="N307" s="79">
        <v>2.35704</v>
      </c>
      <c r="O307" s="79">
        <v>6.1201400000000001</v>
      </c>
      <c r="P307" s="79">
        <v>805.00000999999997</v>
      </c>
      <c r="Q307" s="77"/>
      <c r="R307" s="77"/>
      <c r="S307" s="77"/>
      <c r="T307" s="77"/>
      <c r="U307" s="77"/>
      <c r="V307" s="87"/>
      <c r="W307" s="87"/>
      <c r="X307" s="87"/>
      <c r="Y307" s="77"/>
      <c r="Z307" s="88"/>
      <c r="AA307" s="35"/>
      <c r="AB307" s="35"/>
    </row>
    <row r="308" spans="1:28" x14ac:dyDescent="0.25">
      <c r="A308" s="68" t="str">
        <f t="shared" si="15"/>
        <v>198516</v>
      </c>
      <c r="B308" s="10">
        <f t="shared" si="16"/>
        <v>59.536000000000001</v>
      </c>
      <c r="C308" s="77" t="s">
        <v>415</v>
      </c>
      <c r="D308" s="191" t="str">
        <f t="shared" si="14"/>
        <v>StrongLumio krycí lišta C k LED profilům naklapávací, 1000mm průsvitná</v>
      </c>
      <c r="E308" s="77" t="s">
        <v>1719</v>
      </c>
      <c r="F308" s="77" t="s">
        <v>1720</v>
      </c>
      <c r="G308" s="77" t="s">
        <v>1722</v>
      </c>
      <c r="H308" s="77" t="s">
        <v>1721</v>
      </c>
      <c r="I308" s="77" t="s">
        <v>795</v>
      </c>
      <c r="J308" s="90">
        <v>20</v>
      </c>
      <c r="K308" s="91">
        <v>1</v>
      </c>
      <c r="L308" s="77" t="s">
        <v>227</v>
      </c>
      <c r="M308" s="78">
        <v>59.536000000000001</v>
      </c>
      <c r="N308" s="79">
        <v>2.35704</v>
      </c>
      <c r="O308" s="79">
        <v>6.1201400000000001</v>
      </c>
      <c r="P308" s="79">
        <v>805.00000999999997</v>
      </c>
      <c r="Q308" s="77"/>
      <c r="R308" s="77"/>
      <c r="S308" s="77"/>
      <c r="T308" s="77"/>
      <c r="U308" s="77"/>
      <c r="V308" s="87"/>
      <c r="W308" s="87"/>
      <c r="X308" s="87"/>
      <c r="Y308" s="77"/>
      <c r="Z308" s="88"/>
      <c r="AA308" s="35"/>
      <c r="AB308" s="35"/>
    </row>
    <row r="309" spans="1:28" x14ac:dyDescent="0.25">
      <c r="A309" s="68" t="str">
        <f t="shared" si="15"/>
        <v>221008</v>
      </c>
      <c r="B309" s="10">
        <f t="shared" si="16"/>
        <v>111.264</v>
      </c>
      <c r="C309" s="77" t="s">
        <v>386</v>
      </c>
      <c r="D309" s="191" t="str">
        <f t="shared" si="14"/>
        <v>StrongLumio krycí lišta C k LED profilům naklapávací, 2000mm mléčná</v>
      </c>
      <c r="E309" s="77" t="s">
        <v>1723</v>
      </c>
      <c r="F309" s="77" t="s">
        <v>1724</v>
      </c>
      <c r="G309" s="77" t="s">
        <v>1726</v>
      </c>
      <c r="H309" s="77" t="s">
        <v>1725</v>
      </c>
      <c r="I309" s="77" t="s">
        <v>795</v>
      </c>
      <c r="J309" s="90">
        <v>20</v>
      </c>
      <c r="K309" s="91">
        <v>1</v>
      </c>
      <c r="L309" s="77" t="s">
        <v>227</v>
      </c>
      <c r="M309" s="78">
        <v>111.264</v>
      </c>
      <c r="N309" s="79">
        <v>4.40496</v>
      </c>
      <c r="O309" s="79">
        <v>11.43763</v>
      </c>
      <c r="P309" s="79">
        <v>1523.74999</v>
      </c>
      <c r="Q309" s="77"/>
      <c r="R309" s="77"/>
      <c r="S309" s="77"/>
      <c r="T309" s="77"/>
      <c r="U309" s="77"/>
      <c r="V309" s="87"/>
      <c r="W309" s="87"/>
      <c r="X309" s="87"/>
      <c r="Y309" s="77"/>
      <c r="Z309" s="88"/>
      <c r="AA309" s="35"/>
      <c r="AB309" s="35"/>
    </row>
    <row r="310" spans="1:28" x14ac:dyDescent="0.25">
      <c r="A310" s="68" t="str">
        <f t="shared" si="15"/>
        <v>198517</v>
      </c>
      <c r="B310" s="10">
        <f t="shared" si="16"/>
        <v>110.288</v>
      </c>
      <c r="C310" s="77" t="s">
        <v>380</v>
      </c>
      <c r="D310" s="191" t="str">
        <f t="shared" si="14"/>
        <v>StrongLumio krycí lišta C k LED profilům naklapávací, 2000mm průsvitná</v>
      </c>
      <c r="E310" s="77" t="s">
        <v>1727</v>
      </c>
      <c r="F310" s="77" t="s">
        <v>1728</v>
      </c>
      <c r="G310" s="77" t="s">
        <v>1730</v>
      </c>
      <c r="H310" s="77" t="s">
        <v>1729</v>
      </c>
      <c r="I310" s="77" t="s">
        <v>795</v>
      </c>
      <c r="J310" s="90">
        <v>20</v>
      </c>
      <c r="K310" s="91">
        <v>1</v>
      </c>
      <c r="L310" s="77" t="s">
        <v>227</v>
      </c>
      <c r="M310" s="78">
        <v>110.288</v>
      </c>
      <c r="N310" s="79">
        <v>4.36632</v>
      </c>
      <c r="O310" s="79">
        <v>11.337289999999999</v>
      </c>
      <c r="P310" s="79">
        <v>1509.375</v>
      </c>
      <c r="Q310" s="77"/>
      <c r="R310" s="77"/>
      <c r="S310" s="77"/>
      <c r="T310" s="77"/>
      <c r="U310" s="77"/>
      <c r="V310" s="87"/>
      <c r="W310" s="87"/>
      <c r="X310" s="87"/>
      <c r="Y310" s="77"/>
      <c r="Z310" s="88"/>
      <c r="AA310" s="35"/>
      <c r="AB310" s="35"/>
    </row>
    <row r="311" spans="1:28" x14ac:dyDescent="0.25">
      <c r="A311" s="68" t="str">
        <f t="shared" si="15"/>
        <v>404412</v>
      </c>
      <c r="B311" s="10">
        <f t="shared" si="16"/>
        <v>1172.1759999999999</v>
      </c>
      <c r="C311" s="77" t="s">
        <v>4973</v>
      </c>
      <c r="D311" s="191" t="str">
        <f t="shared" si="14"/>
        <v>StrongLumio krycí lišta C k LED profilům naklapávací, 20m mléčná</v>
      </c>
      <c r="E311" s="77" t="s">
        <v>1731</v>
      </c>
      <c r="F311" s="77" t="s">
        <v>1732</v>
      </c>
      <c r="G311" s="77" t="s">
        <v>1734</v>
      </c>
      <c r="H311" s="77" t="s">
        <v>1733</v>
      </c>
      <c r="I311" s="77" t="s">
        <v>795</v>
      </c>
      <c r="J311" s="90">
        <v>1</v>
      </c>
      <c r="K311" s="91">
        <v>1</v>
      </c>
      <c r="L311" s="77" t="s">
        <v>227</v>
      </c>
      <c r="M311" s="78">
        <v>1172.1759999999999</v>
      </c>
      <c r="N311" s="79">
        <v>46.406640000000003</v>
      </c>
      <c r="O311" s="79">
        <v>120.49643</v>
      </c>
      <c r="P311" s="79">
        <v>16013.74999</v>
      </c>
      <c r="Q311" s="77"/>
      <c r="R311" s="77"/>
      <c r="S311" s="77"/>
      <c r="T311" s="77"/>
      <c r="U311" s="77"/>
      <c r="V311" s="87"/>
      <c r="W311" s="87"/>
      <c r="X311" s="87"/>
      <c r="Y311" s="77"/>
      <c r="Z311" s="88"/>
      <c r="AA311" s="35"/>
      <c r="AB311" s="35"/>
    </row>
    <row r="312" spans="1:28" x14ac:dyDescent="0.25">
      <c r="A312" s="68" t="str">
        <f t="shared" si="15"/>
        <v>233554</v>
      </c>
      <c r="B312" s="10">
        <f t="shared" si="16"/>
        <v>171.77600000000001</v>
      </c>
      <c r="C312" s="77" t="s">
        <v>403</v>
      </c>
      <c r="D312" s="191" t="str">
        <f t="shared" si="14"/>
        <v>StrongLumio krycí lišta C k LED profilům naklapávací, 3000mm mléčná</v>
      </c>
      <c r="E312" s="77" t="s">
        <v>1735</v>
      </c>
      <c r="F312" s="77" t="s">
        <v>1736</v>
      </c>
      <c r="G312" s="77" t="s">
        <v>1738</v>
      </c>
      <c r="H312" s="77" t="s">
        <v>1737</v>
      </c>
      <c r="I312" s="77" t="s">
        <v>795</v>
      </c>
      <c r="J312" s="90">
        <v>20</v>
      </c>
      <c r="K312" s="91">
        <v>1</v>
      </c>
      <c r="L312" s="77" t="s">
        <v>276</v>
      </c>
      <c r="M312" s="78">
        <v>171.77600000000001</v>
      </c>
      <c r="N312" s="79">
        <v>6.8006399999999996</v>
      </c>
      <c r="O312" s="79">
        <v>17.658100000000001</v>
      </c>
      <c r="P312" s="79">
        <v>2343.1249899999998</v>
      </c>
      <c r="Q312" s="77"/>
      <c r="R312" s="77"/>
      <c r="S312" s="77"/>
      <c r="T312" s="77"/>
      <c r="U312" s="77"/>
      <c r="V312" s="87"/>
      <c r="W312" s="87"/>
      <c r="X312" s="87"/>
      <c r="Y312" s="77"/>
      <c r="Z312" s="88"/>
      <c r="AA312" s="35"/>
      <c r="AB312" s="35"/>
    </row>
    <row r="313" spans="1:28" x14ac:dyDescent="0.25">
      <c r="A313" s="68" t="str">
        <f t="shared" si="15"/>
        <v>244352</v>
      </c>
      <c r="B313" s="10">
        <f t="shared" si="16"/>
        <v>167.87200000000001</v>
      </c>
      <c r="C313" s="77" t="s">
        <v>399</v>
      </c>
      <c r="D313" s="191" t="str">
        <f t="shared" si="14"/>
        <v>StrongLumio krycí lišta C k LED profilům naklapávací, 3000mm průsvitná</v>
      </c>
      <c r="E313" s="77" t="s">
        <v>1739</v>
      </c>
      <c r="F313" s="77" t="s">
        <v>1740</v>
      </c>
      <c r="G313" s="77" t="s">
        <v>1742</v>
      </c>
      <c r="H313" s="77" t="s">
        <v>1741</v>
      </c>
      <c r="I313" s="77" t="s">
        <v>795</v>
      </c>
      <c r="J313" s="90">
        <v>20</v>
      </c>
      <c r="K313" s="91">
        <v>1</v>
      </c>
      <c r="L313" s="77" t="s">
        <v>276</v>
      </c>
      <c r="M313" s="78">
        <v>167.87200000000001</v>
      </c>
      <c r="N313" s="79">
        <v>6.6460800000000004</v>
      </c>
      <c r="O313" s="79">
        <v>17.256769999999999</v>
      </c>
      <c r="P313" s="79">
        <v>2299.9999899999998</v>
      </c>
      <c r="Q313" s="77"/>
      <c r="R313" s="77"/>
      <c r="S313" s="77"/>
      <c r="T313" s="77"/>
      <c r="U313" s="77"/>
      <c r="V313" s="87"/>
      <c r="W313" s="87"/>
      <c r="X313" s="87"/>
      <c r="Y313" s="77"/>
      <c r="Z313" s="88"/>
      <c r="AA313" s="35"/>
      <c r="AB313" s="35"/>
    </row>
    <row r="314" spans="1:28" x14ac:dyDescent="0.25">
      <c r="A314" s="68" t="str">
        <f t="shared" si="15"/>
        <v>269801</v>
      </c>
      <c r="B314" s="10">
        <f t="shared" si="16"/>
        <v>224.48</v>
      </c>
      <c r="C314" s="77" t="s">
        <v>409</v>
      </c>
      <c r="D314" s="191" t="str">
        <f t="shared" si="14"/>
        <v>StrongLumio krycí lišta C k LED profilům naklapávací, 4100mm mléčná</v>
      </c>
      <c r="E314" s="77" t="s">
        <v>1743</v>
      </c>
      <c r="F314" s="77" t="s">
        <v>410</v>
      </c>
      <c r="G314" s="77" t="s">
        <v>1745</v>
      </c>
      <c r="H314" s="77" t="s">
        <v>1744</v>
      </c>
      <c r="I314" s="77" t="s">
        <v>795</v>
      </c>
      <c r="J314" s="90">
        <v>20</v>
      </c>
      <c r="K314" s="91">
        <v>1</v>
      </c>
      <c r="L314" s="77" t="s">
        <v>227</v>
      </c>
      <c r="M314" s="78">
        <v>224.48</v>
      </c>
      <c r="N314" s="79">
        <v>8.8872</v>
      </c>
      <c r="O314" s="79">
        <v>23.07591</v>
      </c>
      <c r="P314" s="79">
        <v>3061.875</v>
      </c>
      <c r="Q314" s="77"/>
      <c r="R314" s="77"/>
      <c r="S314" s="77"/>
      <c r="T314" s="77"/>
      <c r="U314" s="77"/>
      <c r="V314" s="87"/>
      <c r="W314" s="87"/>
      <c r="X314" s="87"/>
      <c r="Y314" s="77"/>
      <c r="Z314" s="88"/>
      <c r="AA314" s="35"/>
      <c r="AB314" s="35"/>
    </row>
    <row r="315" spans="1:28" x14ac:dyDescent="0.25">
      <c r="A315" s="68" t="str">
        <f t="shared" si="15"/>
        <v>252279</v>
      </c>
      <c r="B315" s="10">
        <f t="shared" si="16"/>
        <v>223.50399999999999</v>
      </c>
      <c r="C315" s="77" t="s">
        <v>407</v>
      </c>
      <c r="D315" s="191" t="str">
        <f t="shared" si="14"/>
        <v>StrongLumio krycí lišta C k LED profilům naklapávací, 4100mm průsvitná</v>
      </c>
      <c r="E315" s="77" t="s">
        <v>1746</v>
      </c>
      <c r="F315" s="77" t="s">
        <v>408</v>
      </c>
      <c r="G315" s="77" t="s">
        <v>1748</v>
      </c>
      <c r="H315" s="77" t="s">
        <v>1747</v>
      </c>
      <c r="I315" s="77" t="s">
        <v>795</v>
      </c>
      <c r="J315" s="90">
        <v>20</v>
      </c>
      <c r="K315" s="91">
        <v>1</v>
      </c>
      <c r="L315" s="77" t="s">
        <v>227</v>
      </c>
      <c r="M315" s="78">
        <v>223.50399999999999</v>
      </c>
      <c r="N315" s="79">
        <v>8.8485600000000009</v>
      </c>
      <c r="O315" s="79">
        <v>22.9756</v>
      </c>
      <c r="P315" s="79">
        <v>3047.5000100000002</v>
      </c>
      <c r="Q315" s="77"/>
      <c r="R315" s="77"/>
      <c r="S315" s="77"/>
      <c r="T315" s="77"/>
      <c r="U315" s="77"/>
      <c r="V315" s="87"/>
      <c r="W315" s="87"/>
      <c r="X315" s="87"/>
      <c r="Y315" s="77"/>
      <c r="Z315" s="88"/>
      <c r="AA315" s="35"/>
      <c r="AB315" s="35"/>
    </row>
    <row r="316" spans="1:28" x14ac:dyDescent="0.25">
      <c r="A316" s="68" t="str">
        <f t="shared" si="15"/>
        <v>405262</v>
      </c>
      <c r="B316" s="10">
        <f t="shared" si="16"/>
        <v>247.904</v>
      </c>
      <c r="C316" s="77" t="s">
        <v>4974</v>
      </c>
      <c r="D316" s="191" t="str">
        <f t="shared" si="14"/>
        <v>StrongLumio krycí lišta C1 k profilu HI 8 naklapávací, 2000mm mléčná</v>
      </c>
      <c r="E316" s="77" t="s">
        <v>1749</v>
      </c>
      <c r="F316" s="77" t="s">
        <v>1750</v>
      </c>
      <c r="G316" s="77" t="s">
        <v>1752</v>
      </c>
      <c r="H316" s="77" t="s">
        <v>1751</v>
      </c>
      <c r="I316" s="77" t="s">
        <v>795</v>
      </c>
      <c r="J316" s="90">
        <v>20</v>
      </c>
      <c r="K316" s="91">
        <v>1</v>
      </c>
      <c r="L316" s="77" t="s">
        <v>227</v>
      </c>
      <c r="M316" s="78">
        <v>247.904</v>
      </c>
      <c r="N316" s="79">
        <v>9.8145600000000002</v>
      </c>
      <c r="O316" s="79">
        <v>25.483840000000001</v>
      </c>
      <c r="P316" s="79">
        <v>3378.1249899999998</v>
      </c>
      <c r="Q316" s="77"/>
      <c r="R316" s="77"/>
      <c r="S316" s="77"/>
      <c r="T316" s="77"/>
      <c r="U316" s="77"/>
      <c r="V316" s="87"/>
      <c r="W316" s="87"/>
      <c r="X316" s="87"/>
      <c r="Y316" s="77"/>
      <c r="Z316" s="88"/>
      <c r="AA316" s="35"/>
      <c r="AB316" s="35"/>
    </row>
    <row r="317" spans="1:28" x14ac:dyDescent="0.25">
      <c r="A317" s="68" t="str">
        <f t="shared" si="15"/>
        <v>405263</v>
      </c>
      <c r="B317" s="10">
        <f t="shared" si="16"/>
        <v>396.25599999999997</v>
      </c>
      <c r="C317" s="77" t="s">
        <v>4975</v>
      </c>
      <c r="D317" s="191" t="str">
        <f t="shared" si="14"/>
        <v>StrongLumio krycí lišta C1 k profilu HI 8 naklapávací, 3000mm mléčná</v>
      </c>
      <c r="E317" s="77" t="s">
        <v>1753</v>
      </c>
      <c r="F317" s="77" t="s">
        <v>1754</v>
      </c>
      <c r="G317" s="77" t="s">
        <v>1756</v>
      </c>
      <c r="H317" s="77" t="s">
        <v>1755</v>
      </c>
      <c r="I317" s="77" t="s">
        <v>795</v>
      </c>
      <c r="J317" s="90">
        <v>20</v>
      </c>
      <c r="K317" s="91">
        <v>1</v>
      </c>
      <c r="L317" s="77" t="s">
        <v>227</v>
      </c>
      <c r="M317" s="78">
        <v>396.25599999999997</v>
      </c>
      <c r="N317" s="79">
        <v>19.47221</v>
      </c>
      <c r="O317" s="79">
        <v>50.76784</v>
      </c>
      <c r="P317" s="79">
        <v>7000.6249900000003</v>
      </c>
      <c r="Q317" s="77"/>
      <c r="R317" s="77"/>
      <c r="S317" s="77"/>
      <c r="T317" s="77"/>
      <c r="U317" s="77"/>
      <c r="V317" s="87"/>
      <c r="W317" s="87"/>
      <c r="X317" s="87"/>
      <c r="Y317" s="77"/>
      <c r="Z317" s="88"/>
      <c r="AA317" s="35"/>
      <c r="AB317" s="35"/>
    </row>
    <row r="318" spans="1:28" x14ac:dyDescent="0.25">
      <c r="A318" s="68" t="str">
        <f t="shared" si="15"/>
        <v>405264</v>
      </c>
      <c r="B318" s="10">
        <f t="shared" si="16"/>
        <v>486.048</v>
      </c>
      <c r="C318" s="77" t="s">
        <v>4976</v>
      </c>
      <c r="D318" s="191" t="str">
        <f t="shared" si="14"/>
        <v>StrongLumio krycí lišta C1 k profilu HI 8 naklapávací, 4100mm mléčná</v>
      </c>
      <c r="E318" s="77" t="s">
        <v>1757</v>
      </c>
      <c r="F318" s="77" t="s">
        <v>1758</v>
      </c>
      <c r="G318" s="77" t="s">
        <v>1760</v>
      </c>
      <c r="H318" s="77" t="s">
        <v>1759</v>
      </c>
      <c r="I318" s="77" t="s">
        <v>795</v>
      </c>
      <c r="J318" s="90">
        <v>20</v>
      </c>
      <c r="K318" s="91">
        <v>1</v>
      </c>
      <c r="L318" s="77" t="s">
        <v>6565</v>
      </c>
      <c r="M318" s="78">
        <v>486.048</v>
      </c>
      <c r="N318" s="79">
        <v>19.242719999999998</v>
      </c>
      <c r="O318" s="79">
        <v>49.964379999999998</v>
      </c>
      <c r="P318" s="79">
        <v>6641.25</v>
      </c>
      <c r="Q318" s="77"/>
      <c r="R318" s="77"/>
      <c r="S318" s="77"/>
      <c r="T318" s="77"/>
      <c r="U318" s="77"/>
      <c r="V318" s="87"/>
      <c r="W318" s="87"/>
      <c r="X318" s="87"/>
      <c r="Y318" s="77"/>
      <c r="Z318" s="88"/>
      <c r="AA318" s="35"/>
      <c r="AB318" s="35"/>
    </row>
    <row r="319" spans="1:28" x14ac:dyDescent="0.25">
      <c r="A319" s="68" t="str">
        <f t="shared" si="15"/>
        <v>424699</v>
      </c>
      <c r="B319" s="10">
        <f t="shared" si="16"/>
        <v>178.608</v>
      </c>
      <c r="C319" s="77" t="s">
        <v>4977</v>
      </c>
      <c r="D319" s="191" t="str">
        <f t="shared" si="14"/>
        <v>StrongLumio krycí lišta C2 k profilu Slim 8/Smart 10 naklapávací 3000mm mléčná</v>
      </c>
      <c r="E319" s="77" t="s">
        <v>1761</v>
      </c>
      <c r="F319" s="77" t="s">
        <v>1762</v>
      </c>
      <c r="G319" s="77" t="s">
        <v>1764</v>
      </c>
      <c r="H319" s="77" t="s">
        <v>1763</v>
      </c>
      <c r="I319" s="77" t="s">
        <v>795</v>
      </c>
      <c r="J319" s="90">
        <v>20</v>
      </c>
      <c r="K319" s="91">
        <v>1</v>
      </c>
      <c r="L319" s="77" t="s">
        <v>227</v>
      </c>
      <c r="M319" s="78">
        <v>178.608</v>
      </c>
      <c r="N319" s="79">
        <v>7.0711199999999996</v>
      </c>
      <c r="O319" s="79">
        <v>18.360410000000002</v>
      </c>
      <c r="P319" s="79">
        <v>2443.7500100000002</v>
      </c>
      <c r="Q319" s="77"/>
      <c r="R319" s="77"/>
      <c r="S319" s="77"/>
      <c r="T319" s="77"/>
      <c r="U319" s="77"/>
      <c r="V319" s="87"/>
      <c r="W319" s="87"/>
      <c r="X319" s="87"/>
      <c r="Y319" s="77"/>
      <c r="Z319" s="88"/>
      <c r="AA319" s="35"/>
      <c r="AB319" s="35"/>
    </row>
    <row r="320" spans="1:28" x14ac:dyDescent="0.25">
      <c r="A320" s="68" t="str">
        <f t="shared" si="15"/>
        <v>505947</v>
      </c>
      <c r="B320" s="10">
        <f t="shared" si="16"/>
        <v>147.0735</v>
      </c>
      <c r="C320" s="77" t="s">
        <v>4978</v>
      </c>
      <c r="D320" s="191" t="str">
        <f t="shared" si="14"/>
        <v>StrongLumio krycí lišta C2 k profilu Slim 8/Smart 10 naklapávací černá 2000mm</v>
      </c>
      <c r="E320" s="77" t="s">
        <v>1765</v>
      </c>
      <c r="F320" s="77" t="s">
        <v>1766</v>
      </c>
      <c r="G320" s="77" t="s">
        <v>1768</v>
      </c>
      <c r="H320" s="77" t="s">
        <v>1767</v>
      </c>
      <c r="I320" s="77" t="s">
        <v>795</v>
      </c>
      <c r="J320" s="90">
        <v>20</v>
      </c>
      <c r="K320" s="91">
        <v>1</v>
      </c>
      <c r="L320" s="77" t="s">
        <v>6565</v>
      </c>
      <c r="M320" s="78">
        <v>147.0735</v>
      </c>
      <c r="N320" s="79">
        <v>5.7976799999999997</v>
      </c>
      <c r="O320" s="79">
        <v>15.0495</v>
      </c>
      <c r="P320" s="79">
        <v>2084.3749899999998</v>
      </c>
      <c r="Q320" s="77"/>
      <c r="R320" s="77"/>
      <c r="S320" s="77"/>
      <c r="T320" s="77"/>
      <c r="U320" s="77"/>
      <c r="V320" s="87"/>
      <c r="W320" s="87"/>
      <c r="X320" s="87"/>
      <c r="Y320" s="77"/>
      <c r="Z320" s="88"/>
      <c r="AA320" s="35"/>
      <c r="AB320" s="35"/>
    </row>
    <row r="321" spans="1:28" x14ac:dyDescent="0.25">
      <c r="A321" s="68" t="str">
        <f t="shared" si="15"/>
        <v>472725</v>
      </c>
      <c r="B321" s="10">
        <f t="shared" si="16"/>
        <v>109.312</v>
      </c>
      <c r="C321" s="77" t="s">
        <v>4979</v>
      </c>
      <c r="D321" s="191" t="str">
        <f t="shared" si="14"/>
        <v>StrongLumio krycí lišta C2 k profilu Slim 8/Smart10 naklapávací 2000mm mléčná</v>
      </c>
      <c r="E321" s="77" t="s">
        <v>1769</v>
      </c>
      <c r="F321" s="77" t="s">
        <v>1770</v>
      </c>
      <c r="G321" s="77" t="s">
        <v>1772</v>
      </c>
      <c r="H321" s="77" t="s">
        <v>1771</v>
      </c>
      <c r="I321" s="77" t="s">
        <v>795</v>
      </c>
      <c r="J321" s="90">
        <v>20</v>
      </c>
      <c r="K321" s="91">
        <v>1</v>
      </c>
      <c r="L321" s="77" t="s">
        <v>227</v>
      </c>
      <c r="M321" s="78">
        <v>109.312</v>
      </c>
      <c r="N321" s="79">
        <v>4.32768</v>
      </c>
      <c r="O321" s="79">
        <v>11.236969999999999</v>
      </c>
      <c r="P321" s="79">
        <v>1495.00001</v>
      </c>
      <c r="Q321" s="77"/>
      <c r="R321" s="77"/>
      <c r="S321" s="77"/>
      <c r="T321" s="77"/>
      <c r="U321" s="77"/>
      <c r="V321" s="87"/>
      <c r="W321" s="87"/>
      <c r="X321" s="87"/>
      <c r="Y321" s="77"/>
      <c r="Z321" s="88"/>
      <c r="AA321" s="35"/>
      <c r="AB321" s="35"/>
    </row>
    <row r="322" spans="1:28" x14ac:dyDescent="0.25">
      <c r="A322" s="68" t="str">
        <f t="shared" si="15"/>
        <v>505946</v>
      </c>
      <c r="B322" s="10">
        <f t="shared" si="16"/>
        <v>122.976</v>
      </c>
      <c r="C322" s="77" t="s">
        <v>4980</v>
      </c>
      <c r="D322" s="191" t="str">
        <f t="shared" si="14"/>
        <v>StrongLumio krycí lišta C2 k profilu Slim 8/Smart10 naklapávací 2000mm průsvitná</v>
      </c>
      <c r="E322" s="77" t="s">
        <v>1773</v>
      </c>
      <c r="F322" s="77" t="s">
        <v>1774</v>
      </c>
      <c r="G322" s="77" t="s">
        <v>1775</v>
      </c>
      <c r="H322" s="77" t="s">
        <v>1771</v>
      </c>
      <c r="I322" s="77" t="s">
        <v>795</v>
      </c>
      <c r="J322" s="90">
        <v>20</v>
      </c>
      <c r="K322" s="91">
        <v>1</v>
      </c>
      <c r="L322" s="77" t="s">
        <v>6565</v>
      </c>
      <c r="M322" s="78">
        <v>122.976</v>
      </c>
      <c r="N322" s="79">
        <v>4.83</v>
      </c>
      <c r="O322" s="79">
        <v>12.541259999999999</v>
      </c>
      <c r="P322" s="79">
        <v>1710.2803899999999</v>
      </c>
      <c r="Q322" s="77"/>
      <c r="R322" s="77"/>
      <c r="S322" s="77"/>
      <c r="T322" s="77"/>
      <c r="U322" s="77"/>
      <c r="V322" s="87"/>
      <c r="W322" s="87"/>
      <c r="X322" s="87"/>
      <c r="Y322" s="77"/>
      <c r="Z322" s="88"/>
      <c r="AA322" s="35"/>
      <c r="AB322" s="35"/>
    </row>
    <row r="323" spans="1:28" x14ac:dyDescent="0.25">
      <c r="A323" s="68" t="str">
        <f t="shared" si="15"/>
        <v>505948</v>
      </c>
      <c r="B323" s="10">
        <f t="shared" si="16"/>
        <v>180.3648</v>
      </c>
      <c r="C323" s="77" t="s">
        <v>4981</v>
      </c>
      <c r="D323" s="191" t="str">
        <f t="shared" ref="D323:D386" si="17">IF($B$1=1,E323,IF($B$1=2,F323,IF($B$1=3,G323,IF($B$1=4,H323))))</f>
        <v>StrongLumio krycí lišta C2 k profilu Slim 8/Smart10 naklapávací 3000mm průsvitná</v>
      </c>
      <c r="E323" s="77" t="s">
        <v>1776</v>
      </c>
      <c r="F323" s="77" t="s">
        <v>1777</v>
      </c>
      <c r="G323" s="77" t="s">
        <v>1778</v>
      </c>
      <c r="H323" s="77" t="s">
        <v>1763</v>
      </c>
      <c r="I323" s="77" t="s">
        <v>795</v>
      </c>
      <c r="J323" s="90">
        <v>20</v>
      </c>
      <c r="K323" s="91">
        <v>20</v>
      </c>
      <c r="L323" s="77" t="s">
        <v>6565</v>
      </c>
      <c r="M323" s="78">
        <v>180.3648</v>
      </c>
      <c r="N323" s="79">
        <v>7.0711199999999996</v>
      </c>
      <c r="O323" s="79">
        <v>18.360410000000002</v>
      </c>
      <c r="P323" s="79">
        <v>2508.4112300000002</v>
      </c>
      <c r="Q323" s="77"/>
      <c r="R323" s="77"/>
      <c r="S323" s="77"/>
      <c r="T323" s="77"/>
      <c r="U323" s="77"/>
      <c r="V323" s="87"/>
      <c r="W323" s="87"/>
      <c r="X323" s="87"/>
      <c r="Y323" s="77"/>
      <c r="Z323" s="88"/>
      <c r="AA323" s="35"/>
      <c r="AB323" s="35"/>
    </row>
    <row r="324" spans="1:28" x14ac:dyDescent="0.25">
      <c r="A324" s="68" t="str">
        <f t="shared" si="15"/>
        <v>413516</v>
      </c>
      <c r="B324" s="10">
        <f t="shared" si="16"/>
        <v>186.63120000000001</v>
      </c>
      <c r="C324" s="77" t="s">
        <v>4982</v>
      </c>
      <c r="D324" s="191" t="str">
        <f t="shared" si="17"/>
        <v>StrongLumio krycí lišta C3 k LED profilu Smart-In 16 naklapávací mléčná 3000mm</v>
      </c>
      <c r="E324" s="77" t="s">
        <v>1779</v>
      </c>
      <c r="F324" s="77" t="s">
        <v>1780</v>
      </c>
      <c r="G324" s="77" t="s">
        <v>1782</v>
      </c>
      <c r="H324" s="77" t="s">
        <v>1781</v>
      </c>
      <c r="I324" s="77" t="s">
        <v>795</v>
      </c>
      <c r="J324" s="90">
        <v>20</v>
      </c>
      <c r="K324" s="91">
        <v>1</v>
      </c>
      <c r="L324" s="77" t="s">
        <v>6565</v>
      </c>
      <c r="M324" s="78">
        <v>186.63120000000001</v>
      </c>
      <c r="N324" s="79">
        <v>7.3802399999999997</v>
      </c>
      <c r="O324" s="79">
        <v>19.644300000000001</v>
      </c>
      <c r="P324" s="79">
        <v>2644.9999899999998</v>
      </c>
      <c r="Q324" s="77"/>
      <c r="R324" s="77"/>
      <c r="S324" s="77"/>
      <c r="T324" s="77"/>
      <c r="U324" s="77"/>
      <c r="V324" s="87"/>
      <c r="W324" s="87"/>
      <c r="X324" s="87"/>
      <c r="Y324" s="77"/>
      <c r="Z324" s="88"/>
      <c r="AA324" s="35"/>
      <c r="AB324" s="35"/>
    </row>
    <row r="325" spans="1:28" x14ac:dyDescent="0.25">
      <c r="A325" s="68" t="str">
        <f t="shared" si="15"/>
        <v>255931</v>
      </c>
      <c r="B325" s="10">
        <f t="shared" si="16"/>
        <v>291.82400000000001</v>
      </c>
      <c r="C325" s="77" t="s">
        <v>4983</v>
      </c>
      <c r="D325" s="191" t="str">
        <f t="shared" si="17"/>
        <v>StrongLumio krycí lišta D k profilu Uni/Arc naklapávací půlkulatá, 2000mm mléčná</v>
      </c>
      <c r="E325" s="77" t="s">
        <v>1783</v>
      </c>
      <c r="F325" s="77" t="s">
        <v>1784</v>
      </c>
      <c r="G325" s="77" t="s">
        <v>1786</v>
      </c>
      <c r="H325" s="77" t="s">
        <v>1785</v>
      </c>
      <c r="I325" s="77" t="s">
        <v>795</v>
      </c>
      <c r="J325" s="90">
        <v>20</v>
      </c>
      <c r="K325" s="91">
        <v>1</v>
      </c>
      <c r="L325" s="77" t="s">
        <v>227</v>
      </c>
      <c r="M325" s="78">
        <v>291.82400000000001</v>
      </c>
      <c r="N325" s="79">
        <v>11.55336</v>
      </c>
      <c r="O325" s="79">
        <v>29.99869</v>
      </c>
      <c r="P325" s="79">
        <v>3981.8749899999998</v>
      </c>
      <c r="Q325" s="77"/>
      <c r="R325" s="77"/>
      <c r="S325" s="77"/>
      <c r="T325" s="77"/>
      <c r="U325" s="77"/>
      <c r="V325" s="87"/>
      <c r="W325" s="87"/>
      <c r="X325" s="87"/>
      <c r="Y325" s="77"/>
      <c r="Z325" s="88"/>
      <c r="AA325" s="35"/>
      <c r="AB325" s="35"/>
    </row>
    <row r="326" spans="1:28" x14ac:dyDescent="0.25">
      <c r="A326" s="68" t="str">
        <f t="shared" si="15"/>
        <v>285084</v>
      </c>
      <c r="B326" s="10">
        <f t="shared" si="16"/>
        <v>49.776000000000003</v>
      </c>
      <c r="C326" s="77" t="s">
        <v>441</v>
      </c>
      <c r="D326" s="191" t="str">
        <f t="shared" si="17"/>
        <v>StrongLumio krycí lišta E k profilu Cabi naklapávací/násuvná, 2000mm mléčná</v>
      </c>
      <c r="E326" s="77" t="s">
        <v>1787</v>
      </c>
      <c r="F326" s="77" t="s">
        <v>1788</v>
      </c>
      <c r="G326" s="77" t="s">
        <v>1790</v>
      </c>
      <c r="H326" s="77" t="s">
        <v>1789</v>
      </c>
      <c r="I326" s="77" t="s">
        <v>795</v>
      </c>
      <c r="J326" s="90">
        <v>20</v>
      </c>
      <c r="K326" s="91">
        <v>1</v>
      </c>
      <c r="L326" s="77" t="s">
        <v>227</v>
      </c>
      <c r="M326" s="78">
        <v>49.776000000000003</v>
      </c>
      <c r="N326" s="79">
        <v>1.9706399999999999</v>
      </c>
      <c r="O326" s="79">
        <v>5.1168399999999998</v>
      </c>
      <c r="P326" s="79">
        <v>675.62500999999997</v>
      </c>
      <c r="Q326" s="77"/>
      <c r="R326" s="77"/>
      <c r="S326" s="77"/>
      <c r="T326" s="77"/>
      <c r="U326" s="77"/>
      <c r="V326" s="87"/>
      <c r="W326" s="87"/>
      <c r="X326" s="87"/>
      <c r="Y326" s="77"/>
      <c r="Z326" s="88"/>
      <c r="AA326" s="35"/>
      <c r="AB326" s="35"/>
    </row>
    <row r="327" spans="1:28" x14ac:dyDescent="0.25">
      <c r="A327" s="68" t="str">
        <f t="shared" si="15"/>
        <v>285083</v>
      </c>
      <c r="B327" s="10">
        <f t="shared" si="16"/>
        <v>38.064</v>
      </c>
      <c r="C327" s="77" t="s">
        <v>435</v>
      </c>
      <c r="D327" s="191" t="str">
        <f t="shared" si="17"/>
        <v>StrongLumio krycí lišta E k profilu Cabi naklapávací/násuvná, 2000mm průsvitná</v>
      </c>
      <c r="E327" s="77" t="s">
        <v>1791</v>
      </c>
      <c r="F327" s="77" t="s">
        <v>1792</v>
      </c>
      <c r="G327" s="77" t="s">
        <v>1794</v>
      </c>
      <c r="H327" s="77" t="s">
        <v>1793</v>
      </c>
      <c r="I327" s="77" t="s">
        <v>795</v>
      </c>
      <c r="J327" s="90">
        <v>20</v>
      </c>
      <c r="K327" s="91">
        <v>1</v>
      </c>
      <c r="L327" s="77" t="s">
        <v>227</v>
      </c>
      <c r="M327" s="78">
        <v>38.064</v>
      </c>
      <c r="N327" s="79">
        <v>1.5069600000000001</v>
      </c>
      <c r="O327" s="79">
        <v>3.9320400000000002</v>
      </c>
      <c r="P327" s="79">
        <v>517.5</v>
      </c>
      <c r="Q327" s="77"/>
      <c r="R327" s="77"/>
      <c r="S327" s="77"/>
      <c r="T327" s="77"/>
      <c r="U327" s="77"/>
      <c r="V327" s="87"/>
      <c r="W327" s="87"/>
      <c r="X327" s="87"/>
      <c r="Y327" s="77"/>
      <c r="Z327" s="88"/>
      <c r="AA327" s="35"/>
      <c r="AB327" s="35"/>
    </row>
    <row r="328" spans="1:28" x14ac:dyDescent="0.25">
      <c r="A328" s="68" t="str">
        <f t="shared" si="15"/>
        <v>469094</v>
      </c>
      <c r="B328" s="10">
        <f t="shared" si="16"/>
        <v>55.786499999999997</v>
      </c>
      <c r="C328" s="77" t="s">
        <v>4984</v>
      </c>
      <c r="D328" s="191" t="str">
        <f t="shared" si="17"/>
        <v>StrongLumio krycí lišta E k profilu Cabi naklapávací/výsuvná průsvitná 3000mm</v>
      </c>
      <c r="E328" s="77" t="s">
        <v>1795</v>
      </c>
      <c r="F328" s="77" t="s">
        <v>1796</v>
      </c>
      <c r="G328" s="77" t="s">
        <v>1798</v>
      </c>
      <c r="H328" s="77" t="s">
        <v>1797</v>
      </c>
      <c r="I328" s="77" t="s">
        <v>795</v>
      </c>
      <c r="J328" s="90">
        <v>20</v>
      </c>
      <c r="K328" s="91">
        <v>1</v>
      </c>
      <c r="L328" s="77" t="s">
        <v>6565</v>
      </c>
      <c r="M328" s="78">
        <v>55.786499999999997</v>
      </c>
      <c r="N328" s="79">
        <v>2.20248</v>
      </c>
      <c r="O328" s="79">
        <v>5.7188299999999996</v>
      </c>
      <c r="P328" s="79">
        <v>790.62499000000003</v>
      </c>
      <c r="Q328" s="77"/>
      <c r="R328" s="77"/>
      <c r="S328" s="77"/>
      <c r="T328" s="77"/>
      <c r="U328" s="77"/>
      <c r="V328" s="87"/>
      <c r="W328" s="87"/>
      <c r="X328" s="87"/>
      <c r="Y328" s="77"/>
      <c r="Z328" s="88"/>
      <c r="AA328" s="35"/>
      <c r="AB328" s="35"/>
    </row>
    <row r="329" spans="1:28" x14ac:dyDescent="0.25">
      <c r="A329" s="68" t="str">
        <f t="shared" si="15"/>
        <v>461853</v>
      </c>
      <c r="B329" s="10">
        <f t="shared" si="16"/>
        <v>88.244100000000003</v>
      </c>
      <c r="C329" s="77" t="s">
        <v>4985</v>
      </c>
      <c r="D329" s="191" t="str">
        <f t="shared" si="17"/>
        <v>StrongLumio krycí lišta F k LED profilům 14 naklapávací 1000mm černá</v>
      </c>
      <c r="E329" s="77" t="s">
        <v>1799</v>
      </c>
      <c r="F329" s="77" t="s">
        <v>1800</v>
      </c>
      <c r="G329" s="77" t="s">
        <v>1799</v>
      </c>
      <c r="H329" s="77" t="s">
        <v>1801</v>
      </c>
      <c r="I329" s="77" t="s">
        <v>795</v>
      </c>
      <c r="J329" s="90">
        <v>20</v>
      </c>
      <c r="K329" s="91">
        <v>1</v>
      </c>
      <c r="L329" s="77" t="s">
        <v>6565</v>
      </c>
      <c r="M329" s="78">
        <v>88.244100000000003</v>
      </c>
      <c r="N329" s="79">
        <v>3.4786100000000002</v>
      </c>
      <c r="O329" s="79">
        <v>9.2620299999999993</v>
      </c>
      <c r="P329" s="79">
        <v>1250.625</v>
      </c>
      <c r="Q329" s="77"/>
      <c r="R329" s="77"/>
      <c r="S329" s="77"/>
      <c r="T329" s="77"/>
      <c r="U329" s="77"/>
      <c r="V329" s="87"/>
      <c r="W329" s="87"/>
      <c r="X329" s="87"/>
      <c r="Y329" s="77"/>
      <c r="Z329" s="88"/>
      <c r="AA329" s="35"/>
      <c r="AB329" s="35"/>
    </row>
    <row r="330" spans="1:28" x14ac:dyDescent="0.25">
      <c r="A330" s="68" t="str">
        <f t="shared" si="15"/>
        <v>461849</v>
      </c>
      <c r="B330" s="10">
        <f t="shared" si="16"/>
        <v>80.1297</v>
      </c>
      <c r="C330" s="77" t="s">
        <v>4986</v>
      </c>
      <c r="D330" s="191" t="str">
        <f t="shared" si="17"/>
        <v>StrongLumio krycí lišta F k LED profilům 14 naklapávací 1000mm mléčná</v>
      </c>
      <c r="E330" s="77" t="s">
        <v>1802</v>
      </c>
      <c r="F330" s="77" t="s">
        <v>1803</v>
      </c>
      <c r="G330" s="77" t="s">
        <v>1802</v>
      </c>
      <c r="H330" s="77" t="s">
        <v>1804</v>
      </c>
      <c r="I330" s="77" t="s">
        <v>795</v>
      </c>
      <c r="J330" s="90">
        <v>20</v>
      </c>
      <c r="K330" s="91">
        <v>1</v>
      </c>
      <c r="L330" s="77" t="s">
        <v>6565</v>
      </c>
      <c r="M330" s="78">
        <v>80.1297</v>
      </c>
      <c r="N330" s="79">
        <v>3.1684800000000002</v>
      </c>
      <c r="O330" s="79">
        <v>8.3244000000000007</v>
      </c>
      <c r="P330" s="79">
        <v>1135.62499</v>
      </c>
      <c r="Q330" s="77"/>
      <c r="R330" s="77"/>
      <c r="S330" s="77"/>
      <c r="T330" s="77"/>
      <c r="U330" s="77"/>
      <c r="V330" s="87"/>
      <c r="W330" s="87"/>
      <c r="X330" s="87"/>
      <c r="Y330" s="77"/>
      <c r="Z330" s="88"/>
      <c r="AA330" s="35"/>
      <c r="AB330" s="35"/>
    </row>
    <row r="331" spans="1:28" x14ac:dyDescent="0.25">
      <c r="A331" s="68" t="str">
        <f t="shared" si="15"/>
        <v>461847</v>
      </c>
      <c r="B331" s="10">
        <f t="shared" si="16"/>
        <v>73.2</v>
      </c>
      <c r="C331" s="77" t="s">
        <v>4987</v>
      </c>
      <c r="D331" s="191" t="str">
        <f t="shared" si="17"/>
        <v>StrongLumio krycí lišta F k LED profilům 14 naklapávací 1000mm průsvitná</v>
      </c>
      <c r="E331" s="77" t="s">
        <v>1805</v>
      </c>
      <c r="F331" s="77" t="s">
        <v>1806</v>
      </c>
      <c r="G331" s="77" t="s">
        <v>1805</v>
      </c>
      <c r="H331" s="77" t="s">
        <v>1807</v>
      </c>
      <c r="I331" s="77" t="s">
        <v>795</v>
      </c>
      <c r="J331" s="90">
        <v>20</v>
      </c>
      <c r="K331" s="91">
        <v>1</v>
      </c>
      <c r="L331" s="77" t="s">
        <v>6565</v>
      </c>
      <c r="M331" s="78">
        <v>73.2</v>
      </c>
      <c r="N331" s="79">
        <v>2.8980000000000001</v>
      </c>
      <c r="O331" s="79">
        <v>7.5773299999999999</v>
      </c>
      <c r="P331" s="79">
        <v>1035</v>
      </c>
      <c r="Q331" s="77"/>
      <c r="R331" s="77"/>
      <c r="S331" s="77"/>
      <c r="T331" s="77"/>
      <c r="U331" s="77"/>
      <c r="V331" s="87"/>
      <c r="W331" s="87"/>
      <c r="X331" s="87"/>
      <c r="Y331" s="77"/>
      <c r="Z331" s="88"/>
      <c r="AA331" s="35"/>
      <c r="AB331" s="35"/>
    </row>
    <row r="332" spans="1:28" x14ac:dyDescent="0.25">
      <c r="A332" s="68" t="str">
        <f t="shared" si="15"/>
        <v>461859</v>
      </c>
      <c r="B332" s="10">
        <f t="shared" si="16"/>
        <v>166.89599999999999</v>
      </c>
      <c r="C332" s="77" t="s">
        <v>4988</v>
      </c>
      <c r="D332" s="191" t="str">
        <f t="shared" si="17"/>
        <v>StrongLumio krycí lišta F k LED profilům 14 naklapávací 2000mm černá</v>
      </c>
      <c r="E332" s="77" t="s">
        <v>1808</v>
      </c>
      <c r="F332" s="77" t="s">
        <v>1809</v>
      </c>
      <c r="G332" s="77" t="s">
        <v>1811</v>
      </c>
      <c r="H332" s="77" t="s">
        <v>1810</v>
      </c>
      <c r="I332" s="77" t="s">
        <v>795</v>
      </c>
      <c r="J332" s="90">
        <v>20</v>
      </c>
      <c r="K332" s="91">
        <v>1</v>
      </c>
      <c r="L332" s="77" t="s">
        <v>227</v>
      </c>
      <c r="M332" s="78">
        <v>166.89599999999999</v>
      </c>
      <c r="N332" s="79">
        <v>6.6074400000000004</v>
      </c>
      <c r="O332" s="79">
        <v>17.15643</v>
      </c>
      <c r="P332" s="79">
        <v>2271.2500100000002</v>
      </c>
      <c r="Q332" s="77"/>
      <c r="R332" s="77"/>
      <c r="S332" s="77"/>
      <c r="T332" s="77"/>
      <c r="U332" s="77"/>
      <c r="V332" s="87"/>
      <c r="W332" s="87"/>
      <c r="X332" s="87"/>
      <c r="Y332" s="77"/>
      <c r="Z332" s="88"/>
      <c r="AA332" s="35"/>
      <c r="AB332" s="35"/>
    </row>
    <row r="333" spans="1:28" x14ac:dyDescent="0.25">
      <c r="A333" s="68" t="str">
        <f t="shared" si="15"/>
        <v>408366</v>
      </c>
      <c r="B333" s="10">
        <f t="shared" si="16"/>
        <v>148.352</v>
      </c>
      <c r="C333" s="77" t="s">
        <v>4989</v>
      </c>
      <c r="D333" s="191" t="str">
        <f t="shared" si="17"/>
        <v>StrongLumio krycí lišta F k LED profilům 14 naklapávací 2000mm mléčná</v>
      </c>
      <c r="E333" s="77" t="s">
        <v>1812</v>
      </c>
      <c r="F333" s="77" t="s">
        <v>1813</v>
      </c>
      <c r="G333" s="77" t="s">
        <v>1815</v>
      </c>
      <c r="H333" s="77" t="s">
        <v>1814</v>
      </c>
      <c r="I333" s="77" t="s">
        <v>795</v>
      </c>
      <c r="J333" s="90">
        <v>20</v>
      </c>
      <c r="K333" s="91">
        <v>1</v>
      </c>
      <c r="L333" s="77" t="s">
        <v>227</v>
      </c>
      <c r="M333" s="78">
        <v>148.352</v>
      </c>
      <c r="N333" s="79">
        <v>5.8732800000000003</v>
      </c>
      <c r="O333" s="79">
        <v>15.25018</v>
      </c>
      <c r="P333" s="79">
        <v>2012.50001</v>
      </c>
      <c r="Q333" s="77"/>
      <c r="R333" s="77"/>
      <c r="S333" s="77"/>
      <c r="T333" s="77"/>
      <c r="U333" s="77"/>
      <c r="V333" s="87"/>
      <c r="W333" s="87"/>
      <c r="X333" s="87"/>
      <c r="Y333" s="77"/>
      <c r="Z333" s="88"/>
      <c r="AA333" s="35"/>
      <c r="AB333" s="35"/>
    </row>
    <row r="334" spans="1:28" x14ac:dyDescent="0.25">
      <c r="A334" s="68" t="str">
        <f t="shared" si="15"/>
        <v>408365</v>
      </c>
      <c r="B334" s="10">
        <f t="shared" si="16"/>
        <v>145.52160000000001</v>
      </c>
      <c r="C334" s="77" t="s">
        <v>4990</v>
      </c>
      <c r="D334" s="191" t="str">
        <f t="shared" si="17"/>
        <v>StrongLumio krycí lišta F k LED profilům 14 naklapávací 2000mm průsvitná</v>
      </c>
      <c r="E334" s="77" t="s">
        <v>1816</v>
      </c>
      <c r="F334" s="77" t="s">
        <v>1817</v>
      </c>
      <c r="G334" s="77" t="s">
        <v>1819</v>
      </c>
      <c r="H334" s="77" t="s">
        <v>1818</v>
      </c>
      <c r="I334" s="77" t="s">
        <v>795</v>
      </c>
      <c r="J334" s="90">
        <v>20</v>
      </c>
      <c r="K334" s="91">
        <v>1</v>
      </c>
      <c r="L334" s="77" t="s">
        <v>6565</v>
      </c>
      <c r="M334" s="78">
        <v>145.52160000000001</v>
      </c>
      <c r="N334" s="79">
        <v>5.7187200000000002</v>
      </c>
      <c r="O334" s="79">
        <v>15.19449</v>
      </c>
      <c r="P334" s="79">
        <v>2023.83176</v>
      </c>
      <c r="Q334" s="77"/>
      <c r="R334" s="77"/>
      <c r="S334" s="77"/>
      <c r="T334" s="77"/>
      <c r="U334" s="77"/>
      <c r="V334" s="87"/>
      <c r="W334" s="87"/>
      <c r="X334" s="87"/>
      <c r="Y334" s="77"/>
      <c r="Z334" s="88"/>
      <c r="AA334" s="35"/>
      <c r="AB334" s="35"/>
    </row>
    <row r="335" spans="1:28" x14ac:dyDescent="0.25">
      <c r="A335" s="68" t="str">
        <f t="shared" si="15"/>
        <v>461874</v>
      </c>
      <c r="B335" s="10">
        <f t="shared" si="16"/>
        <v>253.76</v>
      </c>
      <c r="C335" s="77" t="s">
        <v>4991</v>
      </c>
      <c r="D335" s="191" t="str">
        <f t="shared" si="17"/>
        <v>StrongLumio krycí lišta F k LED profilům 14 naklapávací 3000mm černá</v>
      </c>
      <c r="E335" s="77" t="s">
        <v>1820</v>
      </c>
      <c r="F335" s="77" t="s">
        <v>1821</v>
      </c>
      <c r="G335" s="77" t="s">
        <v>1823</v>
      </c>
      <c r="H335" s="77" t="s">
        <v>1822</v>
      </c>
      <c r="I335" s="77" t="s">
        <v>795</v>
      </c>
      <c r="J335" s="90">
        <v>20</v>
      </c>
      <c r="K335" s="91">
        <v>1</v>
      </c>
      <c r="L335" s="77" t="s">
        <v>227</v>
      </c>
      <c r="M335" s="78">
        <v>253.76</v>
      </c>
      <c r="N335" s="79">
        <v>10.0464</v>
      </c>
      <c r="O335" s="79">
        <v>26.085819999999998</v>
      </c>
      <c r="P335" s="79">
        <v>3464.3749899999998</v>
      </c>
      <c r="Q335" s="77"/>
      <c r="R335" s="77"/>
      <c r="S335" s="77"/>
      <c r="T335" s="77"/>
      <c r="U335" s="77"/>
      <c r="V335" s="87"/>
      <c r="W335" s="87"/>
      <c r="X335" s="87"/>
      <c r="Y335" s="77"/>
      <c r="Z335" s="88"/>
      <c r="AA335" s="35"/>
      <c r="AB335" s="35"/>
    </row>
    <row r="336" spans="1:28" x14ac:dyDescent="0.25">
      <c r="A336" s="68" t="str">
        <f t="shared" si="15"/>
        <v>461863</v>
      </c>
      <c r="B336" s="10">
        <f t="shared" si="16"/>
        <v>238.14400000000001</v>
      </c>
      <c r="C336" s="77" t="s">
        <v>4992</v>
      </c>
      <c r="D336" s="191" t="str">
        <f t="shared" si="17"/>
        <v>StrongLumio krycí lišta F k LED profilům 14 naklapávací 3000mm mléčná</v>
      </c>
      <c r="E336" s="77" t="s">
        <v>1824</v>
      </c>
      <c r="F336" s="77" t="s">
        <v>1825</v>
      </c>
      <c r="G336" s="77" t="s">
        <v>1827</v>
      </c>
      <c r="H336" s="77" t="s">
        <v>1826</v>
      </c>
      <c r="I336" s="77" t="s">
        <v>795</v>
      </c>
      <c r="J336" s="90">
        <v>20</v>
      </c>
      <c r="K336" s="91">
        <v>1</v>
      </c>
      <c r="L336" s="77" t="s">
        <v>227</v>
      </c>
      <c r="M336" s="78">
        <v>238.14400000000001</v>
      </c>
      <c r="N336" s="79">
        <v>9.4281600000000001</v>
      </c>
      <c r="O336" s="79">
        <v>24.480540000000001</v>
      </c>
      <c r="P336" s="79">
        <v>3248.7499899999998</v>
      </c>
      <c r="Q336" s="77"/>
      <c r="R336" s="77"/>
      <c r="S336" s="77"/>
      <c r="T336" s="77"/>
      <c r="U336" s="77"/>
      <c r="V336" s="87"/>
      <c r="W336" s="87"/>
      <c r="X336" s="87"/>
      <c r="Y336" s="77"/>
      <c r="Z336" s="88"/>
      <c r="AA336" s="35"/>
      <c r="AB336" s="35"/>
    </row>
    <row r="337" spans="1:28" x14ac:dyDescent="0.25">
      <c r="A337" s="68" t="str">
        <f t="shared" si="15"/>
        <v>461860</v>
      </c>
      <c r="B337" s="10">
        <f t="shared" si="16"/>
        <v>230.33600000000001</v>
      </c>
      <c r="C337" s="77" t="s">
        <v>4993</v>
      </c>
      <c r="D337" s="191" t="str">
        <f t="shared" si="17"/>
        <v>StrongLumio krycí lišta F k LED profilům 14 naklapávací 3000mm průsvitná</v>
      </c>
      <c r="E337" s="77" t="s">
        <v>1828</v>
      </c>
      <c r="F337" s="77" t="s">
        <v>1829</v>
      </c>
      <c r="G337" s="77" t="s">
        <v>1831</v>
      </c>
      <c r="H337" s="77" t="s">
        <v>1830</v>
      </c>
      <c r="I337" s="77" t="s">
        <v>795</v>
      </c>
      <c r="J337" s="90">
        <v>20</v>
      </c>
      <c r="K337" s="91">
        <v>1</v>
      </c>
      <c r="L337" s="77" t="s">
        <v>227</v>
      </c>
      <c r="M337" s="78">
        <v>230.33600000000001</v>
      </c>
      <c r="N337" s="79">
        <v>9.11904</v>
      </c>
      <c r="O337" s="79">
        <v>23.677900000000001</v>
      </c>
      <c r="P337" s="79">
        <v>3148.125</v>
      </c>
      <c r="Q337" s="77"/>
      <c r="R337" s="77"/>
      <c r="S337" s="77"/>
      <c r="T337" s="77"/>
      <c r="U337" s="77"/>
      <c r="V337" s="87"/>
      <c r="W337" s="87"/>
      <c r="X337" s="87"/>
      <c r="Y337" s="77"/>
      <c r="Z337" s="88"/>
      <c r="AA337" s="35"/>
      <c r="AB337" s="35"/>
    </row>
    <row r="338" spans="1:28" x14ac:dyDescent="0.25">
      <c r="A338" s="68" t="str">
        <f t="shared" si="15"/>
        <v>461888</v>
      </c>
      <c r="B338" s="10">
        <f t="shared" si="16"/>
        <v>313.4187</v>
      </c>
      <c r="C338" s="77" t="s">
        <v>4994</v>
      </c>
      <c r="D338" s="191" t="str">
        <f t="shared" si="17"/>
        <v>StrongLumio krycí lišta F k LED profilům 14 naklapávací černá 4100mm</v>
      </c>
      <c r="E338" s="77" t="s">
        <v>1832</v>
      </c>
      <c r="F338" s="77" t="s">
        <v>1833</v>
      </c>
      <c r="G338" s="77" t="s">
        <v>1832</v>
      </c>
      <c r="H338" s="77" t="s">
        <v>1834</v>
      </c>
      <c r="I338" s="77" t="s">
        <v>795</v>
      </c>
      <c r="J338" s="90">
        <v>20</v>
      </c>
      <c r="K338" s="91">
        <v>1</v>
      </c>
      <c r="L338" s="77" t="s">
        <v>6565</v>
      </c>
      <c r="M338" s="78">
        <v>313.4187</v>
      </c>
      <c r="N338" s="79">
        <v>12.40344</v>
      </c>
      <c r="O338" s="79">
        <v>32.658859999999997</v>
      </c>
      <c r="P338" s="79">
        <v>4441.875</v>
      </c>
      <c r="Q338" s="77"/>
      <c r="R338" s="77"/>
      <c r="S338" s="77"/>
      <c r="T338" s="77"/>
      <c r="U338" s="77"/>
      <c r="V338" s="87"/>
      <c r="W338" s="87"/>
      <c r="X338" s="87"/>
      <c r="Y338" s="77"/>
      <c r="Z338" s="88"/>
      <c r="AA338" s="35"/>
      <c r="AB338" s="35"/>
    </row>
    <row r="339" spans="1:28" x14ac:dyDescent="0.25">
      <c r="A339" s="68" t="str">
        <f t="shared" si="15"/>
        <v>462076</v>
      </c>
      <c r="B339" s="10">
        <f t="shared" si="16"/>
        <v>1892.6838</v>
      </c>
      <c r="C339" s="77" t="s">
        <v>4995</v>
      </c>
      <c r="D339" s="191" t="str">
        <f t="shared" si="17"/>
        <v>StrongLumio krycí lišta F k LED profilům 14 naklapávací mléčná 20m</v>
      </c>
      <c r="E339" s="77" t="s">
        <v>1835</v>
      </c>
      <c r="F339" s="77" t="s">
        <v>1836</v>
      </c>
      <c r="G339" s="77" t="s">
        <v>1835</v>
      </c>
      <c r="H339" s="77" t="s">
        <v>1837</v>
      </c>
      <c r="I339" s="77" t="s">
        <v>795</v>
      </c>
      <c r="J339" s="90">
        <v>1</v>
      </c>
      <c r="K339" s="91">
        <v>1</v>
      </c>
      <c r="L339" s="77" t="s">
        <v>6565</v>
      </c>
      <c r="M339" s="78">
        <v>1892.6838</v>
      </c>
      <c r="N339" s="79">
        <v>74.922960000000003</v>
      </c>
      <c r="O339" s="79">
        <v>195.30314999999999</v>
      </c>
      <c r="P339" s="79">
        <v>26823.75</v>
      </c>
      <c r="Q339" s="77"/>
      <c r="R339" s="77"/>
      <c r="S339" s="77"/>
      <c r="T339" s="77"/>
      <c r="U339" s="77"/>
      <c r="V339" s="87"/>
      <c r="W339" s="87"/>
      <c r="X339" s="87"/>
      <c r="Y339" s="77"/>
      <c r="Z339" s="88"/>
      <c r="AA339" s="35"/>
      <c r="AB339" s="35"/>
    </row>
    <row r="340" spans="1:28" x14ac:dyDescent="0.25">
      <c r="A340" s="68" t="str">
        <f t="shared" si="15"/>
        <v>461887</v>
      </c>
      <c r="B340" s="10">
        <f t="shared" si="16"/>
        <v>292.8</v>
      </c>
      <c r="C340" s="77" t="s">
        <v>4996</v>
      </c>
      <c r="D340" s="191" t="str">
        <f t="shared" si="17"/>
        <v>StrongLumio krycí lišta F k LED profilům 14 naklapávací mléčná 4100mm</v>
      </c>
      <c r="E340" s="77" t="s">
        <v>1838</v>
      </c>
      <c r="F340" s="77" t="s">
        <v>1839</v>
      </c>
      <c r="G340" s="77" t="s">
        <v>1838</v>
      </c>
      <c r="H340" s="77" t="s">
        <v>1840</v>
      </c>
      <c r="I340" s="77" t="s">
        <v>795</v>
      </c>
      <c r="J340" s="90">
        <v>20</v>
      </c>
      <c r="K340" s="91">
        <v>1</v>
      </c>
      <c r="L340" s="77" t="s">
        <v>227</v>
      </c>
      <c r="M340" s="78">
        <v>292.8</v>
      </c>
      <c r="N340" s="79">
        <v>11.592000000000001</v>
      </c>
      <c r="O340" s="79">
        <v>30.099029999999999</v>
      </c>
      <c r="P340" s="79">
        <v>3996.2500100000002</v>
      </c>
      <c r="Q340" s="77"/>
      <c r="R340" s="77"/>
      <c r="S340" s="77"/>
      <c r="T340" s="77"/>
      <c r="U340" s="77"/>
      <c r="V340" s="87"/>
      <c r="W340" s="87"/>
      <c r="X340" s="87"/>
      <c r="Y340" s="77"/>
      <c r="Z340" s="88"/>
      <c r="AA340" s="35"/>
      <c r="AB340" s="35"/>
    </row>
    <row r="341" spans="1:28" x14ac:dyDescent="0.25">
      <c r="A341" s="68" t="str">
        <f t="shared" si="15"/>
        <v>461886</v>
      </c>
      <c r="B341" s="10">
        <f t="shared" si="16"/>
        <v>290.84800000000001</v>
      </c>
      <c r="C341" s="77" t="s">
        <v>4997</v>
      </c>
      <c r="D341" s="191" t="str">
        <f t="shared" si="17"/>
        <v>StrongLumio krycí lišta F k LED profilům 14 naklapávací průsvitná 4100mm</v>
      </c>
      <c r="E341" s="77" t="s">
        <v>1841</v>
      </c>
      <c r="F341" s="77" t="s">
        <v>1842</v>
      </c>
      <c r="G341" s="77" t="s">
        <v>1841</v>
      </c>
      <c r="H341" s="77" t="s">
        <v>1843</v>
      </c>
      <c r="I341" s="77" t="s">
        <v>795</v>
      </c>
      <c r="J341" s="90">
        <v>20</v>
      </c>
      <c r="K341" s="91">
        <v>1</v>
      </c>
      <c r="L341" s="77" t="s">
        <v>6565</v>
      </c>
      <c r="M341" s="78">
        <v>290.84800000000001</v>
      </c>
      <c r="N341" s="79">
        <v>11.514720000000001</v>
      </c>
      <c r="O341" s="79">
        <v>29.989180000000001</v>
      </c>
      <c r="P341" s="79">
        <v>4111.2499900000003</v>
      </c>
      <c r="Q341" s="77"/>
      <c r="R341" s="77"/>
      <c r="S341" s="77"/>
      <c r="T341" s="77"/>
      <c r="U341" s="77"/>
      <c r="V341" s="87"/>
      <c r="W341" s="87"/>
      <c r="X341" s="87"/>
      <c r="Y341" s="77"/>
      <c r="Z341" s="88"/>
      <c r="AA341" s="35"/>
      <c r="AB341" s="35"/>
    </row>
    <row r="342" spans="1:28" x14ac:dyDescent="0.25">
      <c r="A342" s="68" t="str">
        <f t="shared" si="15"/>
        <v>130651</v>
      </c>
      <c r="B342" s="10">
        <f t="shared" si="16"/>
        <v>10.718500000000001</v>
      </c>
      <c r="C342" s="77" t="s">
        <v>4998</v>
      </c>
      <c r="D342" s="191" t="str">
        <f t="shared" si="17"/>
        <v>StrongLumio krycí lišta G k profilu Wide 24 naklapávací/násuvná 1000mm mléčná</v>
      </c>
      <c r="E342" s="77" t="s">
        <v>1844</v>
      </c>
      <c r="F342" s="77" t="s">
        <v>1845</v>
      </c>
      <c r="G342" s="77" t="s">
        <v>1847</v>
      </c>
      <c r="H342" s="77" t="s">
        <v>1846</v>
      </c>
      <c r="I342" s="77" t="s">
        <v>795</v>
      </c>
      <c r="J342" s="90">
        <v>20</v>
      </c>
      <c r="K342" s="91">
        <v>1</v>
      </c>
      <c r="L342" s="77" t="s">
        <v>227</v>
      </c>
      <c r="M342" s="78">
        <v>10.718500000000001</v>
      </c>
      <c r="N342" s="79">
        <v>0.49503999999999998</v>
      </c>
      <c r="O342" s="79">
        <v>3.8492000000000002</v>
      </c>
      <c r="P342" s="79">
        <v>170.67675</v>
      </c>
      <c r="Q342" s="77"/>
      <c r="R342" s="77"/>
      <c r="S342" s="77"/>
      <c r="T342" s="77"/>
      <c r="U342" s="77"/>
      <c r="V342" s="87"/>
      <c r="W342" s="87"/>
      <c r="X342" s="87"/>
      <c r="Y342" s="77"/>
      <c r="Z342" s="88"/>
      <c r="AA342" s="35"/>
      <c r="AB342" s="35"/>
    </row>
    <row r="343" spans="1:28" x14ac:dyDescent="0.25">
      <c r="A343" s="68" t="str">
        <f t="shared" si="15"/>
        <v>130654</v>
      </c>
      <c r="B343" s="10">
        <f t="shared" si="16"/>
        <v>8.827</v>
      </c>
      <c r="C343" s="77" t="s">
        <v>4999</v>
      </c>
      <c r="D343" s="191" t="str">
        <f t="shared" si="17"/>
        <v>StrongLumio krycí lišta G k profilu Wide 24 naklapávací/násuvná 1000mm průsvitná</v>
      </c>
      <c r="E343" s="77" t="s">
        <v>1848</v>
      </c>
      <c r="F343" s="77" t="s">
        <v>1849</v>
      </c>
      <c r="G343" s="77" t="s">
        <v>1851</v>
      </c>
      <c r="H343" s="77" t="s">
        <v>1850</v>
      </c>
      <c r="I343" s="77" t="s">
        <v>795</v>
      </c>
      <c r="J343" s="90">
        <v>20</v>
      </c>
      <c r="K343" s="91">
        <v>1</v>
      </c>
      <c r="L343" s="77" t="s">
        <v>227</v>
      </c>
      <c r="M343" s="78">
        <v>8.827</v>
      </c>
      <c r="N343" s="79">
        <v>0.40767999999999999</v>
      </c>
      <c r="O343" s="79">
        <v>3.0752600000000001</v>
      </c>
      <c r="P343" s="79">
        <v>140.55733000000001</v>
      </c>
      <c r="Q343" s="77"/>
      <c r="R343" s="77"/>
      <c r="S343" s="77"/>
      <c r="T343" s="77"/>
      <c r="U343" s="77"/>
      <c r="V343" s="87"/>
      <c r="W343" s="87"/>
      <c r="X343" s="87"/>
      <c r="Y343" s="77"/>
      <c r="Z343" s="88"/>
      <c r="AA343" s="35"/>
      <c r="AB343" s="35"/>
    </row>
    <row r="344" spans="1:28" x14ac:dyDescent="0.25">
      <c r="A344" s="68" t="str">
        <f t="shared" si="15"/>
        <v>130652</v>
      </c>
      <c r="B344" s="10">
        <f t="shared" si="16"/>
        <v>71.248000000000005</v>
      </c>
      <c r="C344" s="77" t="s">
        <v>5000</v>
      </c>
      <c r="D344" s="191" t="str">
        <f t="shared" si="17"/>
        <v>StrongLumio krycí lišta G k profilu Wide 24 naklapávací/násuvná 2000mm mléčná</v>
      </c>
      <c r="E344" s="77" t="s">
        <v>1852</v>
      </c>
      <c r="F344" s="77" t="s">
        <v>1853</v>
      </c>
      <c r="G344" s="77" t="s">
        <v>1855</v>
      </c>
      <c r="H344" s="77" t="s">
        <v>1854</v>
      </c>
      <c r="I344" s="77" t="s">
        <v>795</v>
      </c>
      <c r="J344" s="90">
        <v>20</v>
      </c>
      <c r="K344" s="91">
        <v>20</v>
      </c>
      <c r="L344" s="77" t="s">
        <v>6565</v>
      </c>
      <c r="M344" s="78">
        <v>71.248000000000005</v>
      </c>
      <c r="N344" s="79">
        <v>2.8207200000000001</v>
      </c>
      <c r="O344" s="79">
        <v>7.32409</v>
      </c>
      <c r="P344" s="79">
        <v>963.12499000000003</v>
      </c>
      <c r="Q344" s="77"/>
      <c r="R344" s="77"/>
      <c r="S344" s="77"/>
      <c r="T344" s="77"/>
      <c r="U344" s="77"/>
      <c r="V344" s="87"/>
      <c r="W344" s="87"/>
      <c r="X344" s="87"/>
      <c r="Y344" s="77"/>
      <c r="Z344" s="88"/>
      <c r="AA344" s="35"/>
      <c r="AB344" s="35"/>
    </row>
    <row r="345" spans="1:28" x14ac:dyDescent="0.25">
      <c r="A345" s="68" t="str">
        <f t="shared" si="15"/>
        <v>130655</v>
      </c>
      <c r="B345" s="10">
        <f t="shared" si="16"/>
        <v>61.488</v>
      </c>
      <c r="C345" s="77" t="s">
        <v>5001</v>
      </c>
      <c r="D345" s="191" t="str">
        <f t="shared" si="17"/>
        <v>StrongLumio krycí lišta G k profilu Wide 24 naklapávací/násuvná 2000mm průsvitná</v>
      </c>
      <c r="E345" s="77" t="s">
        <v>1856</v>
      </c>
      <c r="F345" s="77" t="s">
        <v>1857</v>
      </c>
      <c r="G345" s="77" t="s">
        <v>1859</v>
      </c>
      <c r="H345" s="77" t="s">
        <v>1858</v>
      </c>
      <c r="I345" s="77" t="s">
        <v>795</v>
      </c>
      <c r="J345" s="90">
        <v>20</v>
      </c>
      <c r="K345" s="91">
        <v>1</v>
      </c>
      <c r="L345" s="77" t="s">
        <v>6567</v>
      </c>
      <c r="M345" s="78">
        <v>61.488</v>
      </c>
      <c r="N345" s="79">
        <v>2.43432</v>
      </c>
      <c r="O345" s="79">
        <v>6.3782500000000004</v>
      </c>
      <c r="P345" s="79">
        <v>848.12500999999997</v>
      </c>
      <c r="Q345" s="77"/>
      <c r="R345" s="77"/>
      <c r="S345" s="77"/>
      <c r="T345" s="77"/>
      <c r="U345" s="77"/>
      <c r="V345" s="87"/>
      <c r="W345" s="87"/>
      <c r="X345" s="87"/>
      <c r="Y345" s="77"/>
      <c r="Z345" s="88"/>
      <c r="AA345" s="35"/>
      <c r="AB345" s="35"/>
    </row>
    <row r="346" spans="1:28" x14ac:dyDescent="0.25">
      <c r="A346" s="68" t="str">
        <f t="shared" si="15"/>
        <v>215050</v>
      </c>
      <c r="B346" s="10">
        <f t="shared" si="16"/>
        <v>12.294750000000001</v>
      </c>
      <c r="C346" s="77" t="s">
        <v>5002</v>
      </c>
      <c r="D346" s="191" t="str">
        <f t="shared" si="17"/>
        <v>StrongLumio krycí lišta H k profilu Flat násuvná, 1000mm mléčná</v>
      </c>
      <c r="E346" s="77" t="s">
        <v>1860</v>
      </c>
      <c r="F346" s="77" t="s">
        <v>1861</v>
      </c>
      <c r="G346" s="77" t="s">
        <v>1863</v>
      </c>
      <c r="H346" s="77" t="s">
        <v>1862</v>
      </c>
      <c r="I346" s="77" t="s">
        <v>795</v>
      </c>
      <c r="J346" s="90">
        <v>20</v>
      </c>
      <c r="K346" s="91">
        <v>1</v>
      </c>
      <c r="L346" s="77" t="s">
        <v>227</v>
      </c>
      <c r="M346" s="78">
        <v>12.294750000000001</v>
      </c>
      <c r="N346" s="79">
        <v>0.56784000000000001</v>
      </c>
      <c r="O346" s="79">
        <v>3.9026200000000002</v>
      </c>
      <c r="P346" s="79">
        <v>195.77627000000001</v>
      </c>
      <c r="Q346" s="77"/>
      <c r="R346" s="77"/>
      <c r="S346" s="77"/>
      <c r="T346" s="77"/>
      <c r="U346" s="77"/>
      <c r="V346" s="87"/>
      <c r="W346" s="87"/>
      <c r="X346" s="87"/>
      <c r="Y346" s="77"/>
      <c r="Z346" s="88"/>
      <c r="AA346" s="35"/>
      <c r="AB346" s="35"/>
    </row>
    <row r="347" spans="1:28" x14ac:dyDescent="0.25">
      <c r="A347" s="68" t="str">
        <f t="shared" si="15"/>
        <v>215052</v>
      </c>
      <c r="B347" s="10">
        <f t="shared" si="16"/>
        <v>13.55575</v>
      </c>
      <c r="C347" s="77" t="s">
        <v>5003</v>
      </c>
      <c r="D347" s="191" t="str">
        <f t="shared" si="17"/>
        <v>StrongLumio krycí lišta H k profilu Flat násuvná, 1000mm transparentní</v>
      </c>
      <c r="E347" s="77" t="s">
        <v>1864</v>
      </c>
      <c r="F347" s="77" t="s">
        <v>1865</v>
      </c>
      <c r="G347" s="77" t="s">
        <v>1867</v>
      </c>
      <c r="H347" s="77" t="s">
        <v>1866</v>
      </c>
      <c r="I347" s="77" t="s">
        <v>795</v>
      </c>
      <c r="J347" s="90">
        <v>20</v>
      </c>
      <c r="K347" s="91">
        <v>1</v>
      </c>
      <c r="L347" s="77" t="s">
        <v>227</v>
      </c>
      <c r="M347" s="78">
        <v>13.55575</v>
      </c>
      <c r="N347" s="79">
        <v>0.62607999999999997</v>
      </c>
      <c r="O347" s="79">
        <v>6.1427699999999996</v>
      </c>
      <c r="P347" s="79">
        <v>215.85588999999999</v>
      </c>
      <c r="Q347" s="77"/>
      <c r="R347" s="77"/>
      <c r="S347" s="77"/>
      <c r="T347" s="77"/>
      <c r="U347" s="77"/>
      <c r="V347" s="87"/>
      <c r="W347" s="87"/>
      <c r="X347" s="87"/>
      <c r="Y347" s="77"/>
      <c r="Z347" s="88"/>
      <c r="AA347" s="35"/>
      <c r="AB347" s="35"/>
    </row>
    <row r="348" spans="1:28" x14ac:dyDescent="0.25">
      <c r="A348" s="68" t="str">
        <f t="shared" si="15"/>
        <v>215051</v>
      </c>
      <c r="B348" s="10">
        <f t="shared" si="16"/>
        <v>83.008799999999994</v>
      </c>
      <c r="C348" s="77" t="s">
        <v>5004</v>
      </c>
      <c r="D348" s="191" t="str">
        <f t="shared" si="17"/>
        <v>StrongLumio krycí lišta H k profilu Flat násuvná, 2000mm mléčná</v>
      </c>
      <c r="E348" s="77" t="s">
        <v>1868</v>
      </c>
      <c r="F348" s="77" t="s">
        <v>1869</v>
      </c>
      <c r="G348" s="77" t="s">
        <v>1871</v>
      </c>
      <c r="H348" s="77" t="s">
        <v>1870</v>
      </c>
      <c r="I348" s="77" t="s">
        <v>795</v>
      </c>
      <c r="J348" s="90">
        <v>20</v>
      </c>
      <c r="K348" s="91">
        <v>1</v>
      </c>
      <c r="L348" s="77" t="s">
        <v>6565</v>
      </c>
      <c r="M348" s="78">
        <v>83.008799999999994</v>
      </c>
      <c r="N348" s="79">
        <v>3.2457600000000002</v>
      </c>
      <c r="O348" s="79">
        <v>8.7538699999999992</v>
      </c>
      <c r="P348" s="79">
        <v>1154.4392600000001</v>
      </c>
      <c r="Q348" s="77"/>
      <c r="R348" s="77"/>
      <c r="S348" s="77"/>
      <c r="T348" s="77"/>
      <c r="U348" s="77"/>
      <c r="V348" s="87"/>
      <c r="W348" s="87"/>
      <c r="X348" s="87"/>
      <c r="Y348" s="77"/>
      <c r="Z348" s="88"/>
      <c r="AA348" s="35"/>
      <c r="AB348" s="35"/>
    </row>
    <row r="349" spans="1:28" x14ac:dyDescent="0.25">
      <c r="A349" s="68" t="str">
        <f t="shared" si="15"/>
        <v>215053</v>
      </c>
      <c r="B349" s="10">
        <f t="shared" si="16"/>
        <v>27.426749999999998</v>
      </c>
      <c r="C349" s="77" t="s">
        <v>5005</v>
      </c>
      <c r="D349" s="191" t="str">
        <f t="shared" si="17"/>
        <v>StrongLumio krycí lišta H k profilu Flat násuvná, 2000mm transparentní</v>
      </c>
      <c r="E349" s="77" t="s">
        <v>1872</v>
      </c>
      <c r="F349" s="77" t="s">
        <v>1873</v>
      </c>
      <c r="G349" s="77" t="s">
        <v>1875</v>
      </c>
      <c r="H349" s="77" t="s">
        <v>1874</v>
      </c>
      <c r="I349" s="77" t="s">
        <v>795</v>
      </c>
      <c r="J349" s="90">
        <v>20</v>
      </c>
      <c r="K349" s="91">
        <v>1</v>
      </c>
      <c r="L349" s="77" t="s">
        <v>227</v>
      </c>
      <c r="M349" s="78">
        <v>27.426749999999998</v>
      </c>
      <c r="N349" s="79">
        <v>1.2667200000000001</v>
      </c>
      <c r="O349" s="79">
        <v>12.49647</v>
      </c>
      <c r="P349" s="79">
        <v>436.73169000000001</v>
      </c>
      <c r="Q349" s="77"/>
      <c r="R349" s="77"/>
      <c r="S349" s="77"/>
      <c r="T349" s="77"/>
      <c r="U349" s="77"/>
      <c r="V349" s="87"/>
      <c r="W349" s="87"/>
      <c r="X349" s="87"/>
      <c r="Y349" s="77"/>
      <c r="Z349" s="88"/>
      <c r="AA349" s="35"/>
      <c r="AB349" s="35"/>
    </row>
    <row r="350" spans="1:28" x14ac:dyDescent="0.25">
      <c r="A350" s="68" t="str">
        <f t="shared" ref="A350:A413" si="18">C350</f>
        <v>342525</v>
      </c>
      <c r="B350" s="10">
        <f t="shared" si="16"/>
        <v>146.22192000000001</v>
      </c>
      <c r="C350" s="77" t="s">
        <v>5006</v>
      </c>
      <c r="D350" s="191" t="str">
        <f t="shared" si="17"/>
        <v>StrongLumio krycí lišta hranatá Belcore, 2m mléčná</v>
      </c>
      <c r="E350" s="77" t="s">
        <v>1876</v>
      </c>
      <c r="F350" s="77" t="s">
        <v>1877</v>
      </c>
      <c r="G350" s="77" t="s">
        <v>1879</v>
      </c>
      <c r="H350" s="77" t="s">
        <v>1878</v>
      </c>
      <c r="I350" s="77" t="s">
        <v>795</v>
      </c>
      <c r="J350" s="90">
        <v>1</v>
      </c>
      <c r="K350" s="91">
        <v>1</v>
      </c>
      <c r="L350" s="77" t="s">
        <v>227</v>
      </c>
      <c r="M350" s="78">
        <v>146.22192000000001</v>
      </c>
      <c r="N350" s="79">
        <v>5.7031499999999999</v>
      </c>
      <c r="O350" s="79">
        <v>14.91874</v>
      </c>
      <c r="P350" s="79">
        <v>2077.0159199999998</v>
      </c>
      <c r="Q350" s="77"/>
      <c r="R350" s="77"/>
      <c r="S350" s="77"/>
      <c r="T350" s="77"/>
      <c r="U350" s="77"/>
      <c r="V350" s="87"/>
      <c r="W350" s="87"/>
      <c r="X350" s="87"/>
      <c r="Y350" s="77"/>
      <c r="Z350" s="88"/>
      <c r="AA350" s="35"/>
      <c r="AB350" s="35"/>
    </row>
    <row r="351" spans="1:28" x14ac:dyDescent="0.25">
      <c r="A351" s="68" t="str">
        <f t="shared" si="18"/>
        <v>505780</v>
      </c>
      <c r="B351" s="10">
        <f t="shared" si="16"/>
        <v>226.43199999999999</v>
      </c>
      <c r="C351" s="77" t="s">
        <v>5007</v>
      </c>
      <c r="D351" s="191" t="str">
        <f t="shared" si="17"/>
        <v>StrongLumio krycí lišta I k profilu Pen8 naklapávací mléčná 2000mm</v>
      </c>
      <c r="E351" s="77" t="s">
        <v>1880</v>
      </c>
      <c r="F351" s="77" t="s">
        <v>1881</v>
      </c>
      <c r="G351" s="77" t="s">
        <v>1883</v>
      </c>
      <c r="H351" s="77" t="s">
        <v>1882</v>
      </c>
      <c r="I351" s="77" t="s">
        <v>795</v>
      </c>
      <c r="J351" s="90">
        <v>20</v>
      </c>
      <c r="K351" s="91">
        <v>1</v>
      </c>
      <c r="L351" s="77" t="s">
        <v>6565</v>
      </c>
      <c r="M351" s="78">
        <v>226.43199999999999</v>
      </c>
      <c r="N351" s="79">
        <v>8.96448</v>
      </c>
      <c r="O351" s="79">
        <v>23.27657</v>
      </c>
      <c r="P351" s="79">
        <v>3205.6249899999998</v>
      </c>
      <c r="Q351" s="77"/>
      <c r="R351" s="77"/>
      <c r="S351" s="77"/>
      <c r="T351" s="77"/>
      <c r="U351" s="77"/>
      <c r="V351" s="87"/>
      <c r="W351" s="87"/>
      <c r="X351" s="87"/>
      <c r="Y351" s="77"/>
      <c r="Z351" s="88"/>
      <c r="AA351" s="35"/>
      <c r="AB351" s="35"/>
    </row>
    <row r="352" spans="1:28" x14ac:dyDescent="0.25">
      <c r="A352" s="68" t="str">
        <f t="shared" si="18"/>
        <v>230901</v>
      </c>
      <c r="B352" s="10">
        <f t="shared" ref="B352:B415" si="19">IF($B$1=1,M352,IF($B$1=2,N352,IF($B$1=3,O352,IF($B$1=4,P352))))</f>
        <v>30.263999999999999</v>
      </c>
      <c r="C352" s="77" t="s">
        <v>5008</v>
      </c>
      <c r="D352" s="191" t="str">
        <f t="shared" si="17"/>
        <v>StrongLumio krycí lišta I k profilu Pen8 naklapávací, 1000mm průsvitná</v>
      </c>
      <c r="E352" s="77" t="s">
        <v>1884</v>
      </c>
      <c r="F352" s="77" t="s">
        <v>1885</v>
      </c>
      <c r="G352" s="77" t="s">
        <v>1887</v>
      </c>
      <c r="H352" s="77" t="s">
        <v>1886</v>
      </c>
      <c r="I352" s="77" t="s">
        <v>795</v>
      </c>
      <c r="J352" s="90">
        <v>20</v>
      </c>
      <c r="K352" s="91">
        <v>1</v>
      </c>
      <c r="L352" s="77" t="s">
        <v>227</v>
      </c>
      <c r="M352" s="78">
        <v>30.263999999999999</v>
      </c>
      <c r="N352" s="79">
        <v>1.3977599999999999</v>
      </c>
      <c r="O352" s="79">
        <v>10.329079999999999</v>
      </c>
      <c r="P352" s="79">
        <v>481.91082999999998</v>
      </c>
      <c r="Q352" s="77"/>
      <c r="R352" s="77"/>
      <c r="S352" s="77"/>
      <c r="T352" s="77"/>
      <c r="U352" s="77"/>
      <c r="V352" s="87"/>
      <c r="W352" s="87"/>
      <c r="X352" s="87"/>
      <c r="Y352" s="77"/>
      <c r="Z352" s="88"/>
      <c r="AA352" s="35"/>
      <c r="AB352" s="35"/>
    </row>
    <row r="353" spans="1:28" x14ac:dyDescent="0.25">
      <c r="A353" s="68" t="str">
        <f t="shared" si="18"/>
        <v>230902</v>
      </c>
      <c r="B353" s="10">
        <f t="shared" si="19"/>
        <v>62.419499999999999</v>
      </c>
      <c r="C353" s="77" t="s">
        <v>5009</v>
      </c>
      <c r="D353" s="191" t="str">
        <f t="shared" si="17"/>
        <v>StrongLumio krycí lišta I k profilu Pen8 naklapávací, 2000mm průsvitná</v>
      </c>
      <c r="E353" s="77" t="s">
        <v>1888</v>
      </c>
      <c r="F353" s="77" t="s">
        <v>1889</v>
      </c>
      <c r="G353" s="77" t="s">
        <v>1890</v>
      </c>
      <c r="H353" s="77" t="s">
        <v>1882</v>
      </c>
      <c r="I353" s="77" t="s">
        <v>795</v>
      </c>
      <c r="J353" s="90">
        <v>20</v>
      </c>
      <c r="K353" s="91">
        <v>1</v>
      </c>
      <c r="L353" s="77" t="s">
        <v>227</v>
      </c>
      <c r="M353" s="78">
        <v>62.419499999999999</v>
      </c>
      <c r="N353" s="79">
        <v>2.8828800000000001</v>
      </c>
      <c r="O353" s="79">
        <v>21.286840000000002</v>
      </c>
      <c r="P353" s="79">
        <v>993.94108000000006</v>
      </c>
      <c r="Q353" s="77"/>
      <c r="R353" s="77"/>
      <c r="S353" s="77"/>
      <c r="T353" s="77"/>
      <c r="U353" s="77"/>
      <c r="V353" s="87"/>
      <c r="W353" s="87"/>
      <c r="X353" s="87"/>
      <c r="Y353" s="77"/>
      <c r="Z353" s="88"/>
      <c r="AA353" s="35"/>
      <c r="AB353" s="35"/>
    </row>
    <row r="354" spans="1:28" x14ac:dyDescent="0.25">
      <c r="A354" s="68" t="str">
        <f t="shared" si="18"/>
        <v>285052</v>
      </c>
      <c r="B354" s="10">
        <f t="shared" si="19"/>
        <v>35.136000000000003</v>
      </c>
      <c r="C354" s="77" t="s">
        <v>419</v>
      </c>
      <c r="D354" s="191" t="str">
        <f t="shared" si="17"/>
        <v>StrongLumio krycí lišta J Begtin/Begton 12 naklapávací/násuvná, 2000mm mléčná</v>
      </c>
      <c r="E354" s="77" t="s">
        <v>1891</v>
      </c>
      <c r="F354" s="77" t="s">
        <v>1892</v>
      </c>
      <c r="G354" s="77" t="s">
        <v>1894</v>
      </c>
      <c r="H354" s="77" t="s">
        <v>1893</v>
      </c>
      <c r="I354" s="77" t="s">
        <v>795</v>
      </c>
      <c r="J354" s="90">
        <v>20</v>
      </c>
      <c r="K354" s="91">
        <v>1</v>
      </c>
      <c r="L354" s="77" t="s">
        <v>227</v>
      </c>
      <c r="M354" s="78">
        <v>35.136000000000003</v>
      </c>
      <c r="N354" s="79">
        <v>1.3910400000000001</v>
      </c>
      <c r="O354" s="79">
        <v>3.6118700000000001</v>
      </c>
      <c r="P354" s="79">
        <v>474.375</v>
      </c>
      <c r="Q354" s="77"/>
      <c r="R354" s="77"/>
      <c r="S354" s="77"/>
      <c r="T354" s="77"/>
      <c r="U354" s="77"/>
      <c r="V354" s="87"/>
      <c r="W354" s="87"/>
      <c r="X354" s="87"/>
      <c r="Y354" s="77"/>
      <c r="Z354" s="88"/>
      <c r="AA354" s="35"/>
      <c r="AB354" s="35"/>
    </row>
    <row r="355" spans="1:28" x14ac:dyDescent="0.25">
      <c r="A355" s="68" t="str">
        <f t="shared" si="18"/>
        <v>285053</v>
      </c>
      <c r="B355" s="10">
        <f t="shared" si="19"/>
        <v>28.303999999999998</v>
      </c>
      <c r="C355" s="77" t="s">
        <v>426</v>
      </c>
      <c r="D355" s="191" t="str">
        <f t="shared" si="17"/>
        <v>StrongLumio krycí lišta J Begtin/Begton 12 naklapávací/násuvná, 2000mm průsvitná</v>
      </c>
      <c r="E355" s="77" t="s">
        <v>1895</v>
      </c>
      <c r="F355" s="77" t="s">
        <v>1896</v>
      </c>
      <c r="G355" s="77" t="s">
        <v>1898</v>
      </c>
      <c r="H355" s="77" t="s">
        <v>1897</v>
      </c>
      <c r="I355" s="77" t="s">
        <v>795</v>
      </c>
      <c r="J355" s="90">
        <v>20</v>
      </c>
      <c r="K355" s="91">
        <v>1</v>
      </c>
      <c r="L355" s="77" t="s">
        <v>227</v>
      </c>
      <c r="M355" s="78">
        <v>28.303999999999998</v>
      </c>
      <c r="N355" s="79">
        <v>1.12056</v>
      </c>
      <c r="O355" s="79">
        <v>2.90957</v>
      </c>
      <c r="P355" s="79">
        <v>388.125</v>
      </c>
      <c r="Q355" s="77"/>
      <c r="R355" s="77"/>
      <c r="S355" s="77"/>
      <c r="T355" s="77"/>
      <c r="U355" s="77"/>
      <c r="V355" s="87"/>
      <c r="W355" s="87"/>
      <c r="X355" s="87"/>
      <c r="Y355" s="77"/>
      <c r="Z355" s="88"/>
      <c r="AA355" s="35"/>
      <c r="AB355" s="35"/>
    </row>
    <row r="356" spans="1:28" x14ac:dyDescent="0.25">
      <c r="A356" s="68" t="str">
        <f t="shared" si="18"/>
        <v>285055</v>
      </c>
      <c r="B356" s="10">
        <f t="shared" si="19"/>
        <v>50.752000000000002</v>
      </c>
      <c r="C356" s="77" t="s">
        <v>433</v>
      </c>
      <c r="D356" s="191" t="str">
        <f t="shared" si="17"/>
        <v>StrongLumio krycí lišta J Begtin/Begton 12 naklapávací/násuvná, 3000mm průsvitná</v>
      </c>
      <c r="E356" s="77" t="s">
        <v>1899</v>
      </c>
      <c r="F356" s="77" t="s">
        <v>1900</v>
      </c>
      <c r="G356" s="77" t="s">
        <v>1902</v>
      </c>
      <c r="H356" s="77" t="s">
        <v>1901</v>
      </c>
      <c r="I356" s="77" t="s">
        <v>795</v>
      </c>
      <c r="J356" s="90">
        <v>20</v>
      </c>
      <c r="K356" s="91">
        <v>1</v>
      </c>
      <c r="L356" s="77" t="s">
        <v>227</v>
      </c>
      <c r="M356" s="78">
        <v>50.752000000000002</v>
      </c>
      <c r="N356" s="79">
        <v>2.00928</v>
      </c>
      <c r="O356" s="79">
        <v>5.3135700000000003</v>
      </c>
      <c r="P356" s="79">
        <v>690</v>
      </c>
      <c r="Q356" s="77"/>
      <c r="R356" s="77"/>
      <c r="S356" s="77"/>
      <c r="T356" s="77"/>
      <c r="U356" s="77"/>
      <c r="V356" s="87"/>
      <c r="W356" s="87"/>
      <c r="X356" s="87"/>
      <c r="Y356" s="77"/>
      <c r="Z356" s="88"/>
      <c r="AA356" s="35"/>
      <c r="AB356" s="35"/>
    </row>
    <row r="357" spans="1:28" x14ac:dyDescent="0.25">
      <c r="A357" s="68" t="str">
        <f t="shared" si="18"/>
        <v>367363</v>
      </c>
      <c r="B357" s="10">
        <f t="shared" si="19"/>
        <v>666.60799999999995</v>
      </c>
      <c r="C357" s="77" t="s">
        <v>5010</v>
      </c>
      <c r="D357" s="191" t="str">
        <f t="shared" si="17"/>
        <v>StrongLumio krycí lišta K k profilu Floor naklapávací mléčná 3000mm</v>
      </c>
      <c r="E357" s="77" t="s">
        <v>1903</v>
      </c>
      <c r="F357" s="77" t="s">
        <v>1904</v>
      </c>
      <c r="G357" s="77" t="s">
        <v>1906</v>
      </c>
      <c r="H357" s="77" t="s">
        <v>1905</v>
      </c>
      <c r="I357" s="77" t="s">
        <v>795</v>
      </c>
      <c r="J357" s="90">
        <v>20</v>
      </c>
      <c r="K357" s="91">
        <v>1</v>
      </c>
      <c r="L357" s="77" t="s">
        <v>6565</v>
      </c>
      <c r="M357" s="78">
        <v>666.60799999999995</v>
      </c>
      <c r="N357" s="79">
        <v>26.391120000000001</v>
      </c>
      <c r="O357" s="79">
        <v>69.905029999999996</v>
      </c>
      <c r="P357" s="79">
        <v>9444.375</v>
      </c>
      <c r="Q357" s="77"/>
      <c r="R357" s="77"/>
      <c r="S357" s="77"/>
      <c r="T357" s="77"/>
      <c r="U357" s="77"/>
      <c r="V357" s="87"/>
      <c r="W357" s="87"/>
      <c r="X357" s="87"/>
      <c r="Y357" s="77"/>
      <c r="Z357" s="88"/>
      <c r="AA357" s="35"/>
      <c r="AB357" s="35"/>
    </row>
    <row r="358" spans="1:28" x14ac:dyDescent="0.25">
      <c r="A358" s="68" t="str">
        <f t="shared" si="18"/>
        <v>535187</v>
      </c>
      <c r="B358" s="10">
        <f t="shared" si="19"/>
        <v>887.47680000000003</v>
      </c>
      <c r="C358" s="77" t="s">
        <v>5011</v>
      </c>
      <c r="D358" s="191" t="str">
        <f t="shared" si="17"/>
        <v>StrongLumio krycí lišta K k profilu Floor naklapávací mléčná 4100mm</v>
      </c>
      <c r="E358" s="77" t="s">
        <v>1907</v>
      </c>
      <c r="F358" s="77" t="s">
        <v>1908</v>
      </c>
      <c r="G358" s="77" t="s">
        <v>1910</v>
      </c>
      <c r="H358" s="77" t="s">
        <v>1909</v>
      </c>
      <c r="I358" s="77" t="s">
        <v>795</v>
      </c>
      <c r="J358" s="90">
        <v>20</v>
      </c>
      <c r="K358" s="91">
        <v>1</v>
      </c>
      <c r="L358" s="77" t="s">
        <v>6565</v>
      </c>
      <c r="M358" s="78">
        <v>887.47680000000003</v>
      </c>
      <c r="N358" s="79">
        <v>34.737360000000002</v>
      </c>
      <c r="O358" s="79">
        <v>90.196740000000005</v>
      </c>
      <c r="P358" s="79">
        <v>12342.523349999999</v>
      </c>
      <c r="Q358" s="77"/>
      <c r="R358" s="77"/>
      <c r="S358" s="77"/>
      <c r="T358" s="77"/>
      <c r="U358" s="77"/>
      <c r="V358" s="87"/>
      <c r="W358" s="87"/>
      <c r="X358" s="87"/>
      <c r="Y358" s="77"/>
      <c r="Z358" s="88"/>
      <c r="AA358" s="35"/>
      <c r="AB358" s="35"/>
    </row>
    <row r="359" spans="1:28" x14ac:dyDescent="0.25">
      <c r="A359" s="68" t="str">
        <f t="shared" si="18"/>
        <v>285071</v>
      </c>
      <c r="B359" s="10">
        <f t="shared" si="19"/>
        <v>447.98399999999998</v>
      </c>
      <c r="C359" s="77" t="s">
        <v>5012</v>
      </c>
      <c r="D359" s="191" t="str">
        <f t="shared" si="17"/>
        <v>StrongLumio krycí lišta K k profilu Floor naklapávací, 2000mm mléčná</v>
      </c>
      <c r="E359" s="77" t="s">
        <v>1911</v>
      </c>
      <c r="F359" s="77" t="s">
        <v>1912</v>
      </c>
      <c r="G359" s="77" t="s">
        <v>1914</v>
      </c>
      <c r="H359" s="77" t="s">
        <v>1913</v>
      </c>
      <c r="I359" s="77" t="s">
        <v>795</v>
      </c>
      <c r="J359" s="90">
        <v>20</v>
      </c>
      <c r="K359" s="91">
        <v>1</v>
      </c>
      <c r="L359" s="77" t="s">
        <v>227</v>
      </c>
      <c r="M359" s="78">
        <v>447.98399999999998</v>
      </c>
      <c r="N359" s="79">
        <v>17.735759999999999</v>
      </c>
      <c r="O359" s="79">
        <v>46.05151</v>
      </c>
      <c r="P359" s="79">
        <v>6109.3750099999997</v>
      </c>
      <c r="Q359" s="77"/>
      <c r="R359" s="77"/>
      <c r="S359" s="77"/>
      <c r="T359" s="77"/>
      <c r="U359" s="77"/>
      <c r="V359" s="87"/>
      <c r="W359" s="87"/>
      <c r="X359" s="87"/>
      <c r="Y359" s="77"/>
      <c r="Z359" s="88"/>
      <c r="AA359" s="35"/>
      <c r="AB359" s="35"/>
    </row>
    <row r="360" spans="1:28" x14ac:dyDescent="0.25">
      <c r="A360" s="68" t="str">
        <f t="shared" si="18"/>
        <v>550965</v>
      </c>
      <c r="B360" s="10">
        <f t="shared" si="19"/>
        <v>254.74176</v>
      </c>
      <c r="C360" s="77" t="s">
        <v>5013</v>
      </c>
      <c r="D360" s="191" t="str">
        <f t="shared" si="17"/>
        <v>StrongLumio krycí lišta k LED profilům Angular naklapávací, 2030mm černá</v>
      </c>
      <c r="E360" s="77" t="s">
        <v>1915</v>
      </c>
      <c r="F360" s="77" t="s">
        <v>1916</v>
      </c>
      <c r="G360" s="77" t="s">
        <v>1918</v>
      </c>
      <c r="H360" s="77" t="s">
        <v>1917</v>
      </c>
      <c r="I360" s="77" t="s">
        <v>795</v>
      </c>
      <c r="J360" s="90">
        <v>20</v>
      </c>
      <c r="K360" s="91">
        <v>1</v>
      </c>
      <c r="L360" s="77" t="s">
        <v>227</v>
      </c>
      <c r="M360" s="78">
        <v>254.74176</v>
      </c>
      <c r="N360" s="79">
        <v>9.98001</v>
      </c>
      <c r="O360" s="79">
        <v>25.042400000000001</v>
      </c>
      <c r="P360" s="79">
        <v>3576.2264300000002</v>
      </c>
      <c r="Q360" s="77"/>
      <c r="R360" s="77"/>
      <c r="S360" s="77"/>
      <c r="T360" s="77"/>
      <c r="U360" s="77"/>
      <c r="V360" s="87"/>
      <c r="W360" s="87"/>
      <c r="X360" s="87"/>
      <c r="Y360" s="77"/>
      <c r="Z360" s="88"/>
      <c r="AA360" s="35"/>
      <c r="AB360" s="35"/>
    </row>
    <row r="361" spans="1:28" x14ac:dyDescent="0.25">
      <c r="A361" s="68" t="str">
        <f t="shared" si="18"/>
        <v>550964</v>
      </c>
      <c r="B361" s="10">
        <f t="shared" si="19"/>
        <v>203.94649999999999</v>
      </c>
      <c r="C361" s="77" t="s">
        <v>5014</v>
      </c>
      <c r="D361" s="191" t="str">
        <f t="shared" si="17"/>
        <v>StrongLumio krycí lišta k LED profilům Angular naklapávací, 2030mm mléčná</v>
      </c>
      <c r="E361" s="77" t="s">
        <v>1919</v>
      </c>
      <c r="F361" s="77" t="s">
        <v>1920</v>
      </c>
      <c r="G361" s="77" t="s">
        <v>1922</v>
      </c>
      <c r="H361" s="77" t="s">
        <v>1921</v>
      </c>
      <c r="I361" s="77" t="s">
        <v>795</v>
      </c>
      <c r="J361" s="90">
        <v>20</v>
      </c>
      <c r="K361" s="91">
        <v>1</v>
      </c>
      <c r="L361" s="77" t="s">
        <v>227</v>
      </c>
      <c r="M361" s="78">
        <v>203.94649999999999</v>
      </c>
      <c r="N361" s="79">
        <v>7.9900200000000003</v>
      </c>
      <c r="O361" s="79">
        <v>20.048950000000001</v>
      </c>
      <c r="P361" s="79">
        <v>2863.13033</v>
      </c>
      <c r="Q361" s="77"/>
      <c r="R361" s="77"/>
      <c r="S361" s="77"/>
      <c r="T361" s="77"/>
      <c r="U361" s="77"/>
      <c r="V361" s="87"/>
      <c r="W361" s="87"/>
      <c r="X361" s="87"/>
      <c r="Y361" s="77"/>
      <c r="Z361" s="88"/>
      <c r="AA361" s="35"/>
      <c r="AB361" s="35"/>
    </row>
    <row r="362" spans="1:28" x14ac:dyDescent="0.25">
      <c r="A362" s="68" t="str">
        <f t="shared" si="18"/>
        <v>551031</v>
      </c>
      <c r="B362" s="10">
        <f t="shared" si="19"/>
        <v>378.09147999999999</v>
      </c>
      <c r="C362" s="77" t="s">
        <v>5015</v>
      </c>
      <c r="D362" s="191" t="str">
        <f t="shared" si="17"/>
        <v>StrongLumio krycí lišta k LED profilům Angular naklapávací, 3030mm černá</v>
      </c>
      <c r="E362" s="77" t="s">
        <v>1923</v>
      </c>
      <c r="F362" s="77" t="s">
        <v>1924</v>
      </c>
      <c r="G362" s="77" t="s">
        <v>1926</v>
      </c>
      <c r="H362" s="77" t="s">
        <v>1925</v>
      </c>
      <c r="I362" s="77" t="s">
        <v>795</v>
      </c>
      <c r="J362" s="90">
        <v>20</v>
      </c>
      <c r="K362" s="91">
        <v>1</v>
      </c>
      <c r="L362" s="77" t="s">
        <v>227</v>
      </c>
      <c r="M362" s="78">
        <v>378.09147999999999</v>
      </c>
      <c r="N362" s="79">
        <v>14.812469999999999</v>
      </c>
      <c r="O362" s="79">
        <v>37.168280000000003</v>
      </c>
      <c r="P362" s="79">
        <v>5307.88796</v>
      </c>
      <c r="Q362" s="77"/>
      <c r="R362" s="77"/>
      <c r="S362" s="77"/>
      <c r="T362" s="77"/>
      <c r="U362" s="77"/>
      <c r="V362" s="87"/>
      <c r="W362" s="87"/>
      <c r="X362" s="87"/>
      <c r="Y362" s="77"/>
      <c r="Z362" s="88"/>
      <c r="AA362" s="35"/>
      <c r="AB362" s="35"/>
    </row>
    <row r="363" spans="1:28" x14ac:dyDescent="0.25">
      <c r="A363" s="68" t="str">
        <f t="shared" si="18"/>
        <v>551030</v>
      </c>
      <c r="B363" s="10">
        <f t="shared" si="19"/>
        <v>258.87518999999998</v>
      </c>
      <c r="C363" s="77" t="s">
        <v>5016</v>
      </c>
      <c r="D363" s="191" t="str">
        <f t="shared" si="17"/>
        <v>StrongLumio krycí lišta k LED profilům Angular naklapávací, 3030mm mléčná</v>
      </c>
      <c r="E363" s="77" t="s">
        <v>1927</v>
      </c>
      <c r="F363" s="77" t="s">
        <v>1928</v>
      </c>
      <c r="G363" s="77" t="s">
        <v>1930</v>
      </c>
      <c r="H363" s="77" t="s">
        <v>1929</v>
      </c>
      <c r="I363" s="77" t="s">
        <v>795</v>
      </c>
      <c r="J363" s="90">
        <v>20</v>
      </c>
      <c r="K363" s="91">
        <v>1</v>
      </c>
      <c r="L363" s="77" t="s">
        <v>227</v>
      </c>
      <c r="M363" s="78">
        <v>258.87518999999998</v>
      </c>
      <c r="N363" s="79">
        <v>10.14194</v>
      </c>
      <c r="O363" s="79">
        <v>25.448720000000002</v>
      </c>
      <c r="P363" s="79">
        <v>3634.2541099999999</v>
      </c>
      <c r="Q363" s="77"/>
      <c r="R363" s="77"/>
      <c r="S363" s="77"/>
      <c r="T363" s="77"/>
      <c r="U363" s="77"/>
      <c r="V363" s="87"/>
      <c r="W363" s="87"/>
      <c r="X363" s="87"/>
      <c r="Y363" s="77"/>
      <c r="Z363" s="88"/>
      <c r="AA363" s="35"/>
      <c r="AB363" s="35"/>
    </row>
    <row r="364" spans="1:28" x14ac:dyDescent="0.25">
      <c r="A364" s="68" t="str">
        <f t="shared" si="18"/>
        <v>550763</v>
      </c>
      <c r="B364" s="10">
        <f t="shared" si="19"/>
        <v>159.84637000000001</v>
      </c>
      <c r="C364" s="77" t="s">
        <v>5017</v>
      </c>
      <c r="D364" s="191" t="str">
        <f t="shared" si="17"/>
        <v>StrongLumio krycí lišta k LED profilům Maglyte-10 naklapávací, 2030mm černá</v>
      </c>
      <c r="E364" s="77" t="s">
        <v>1931</v>
      </c>
      <c r="F364" s="77" t="s">
        <v>1932</v>
      </c>
      <c r="G364" s="77" t="s">
        <v>1934</v>
      </c>
      <c r="H364" s="77" t="s">
        <v>1933</v>
      </c>
      <c r="I364" s="77" t="s">
        <v>795</v>
      </c>
      <c r="J364" s="90">
        <v>20</v>
      </c>
      <c r="K364" s="91">
        <v>1</v>
      </c>
      <c r="L364" s="77" t="s">
        <v>227</v>
      </c>
      <c r="M364" s="78">
        <v>159.84637000000001</v>
      </c>
      <c r="N364" s="79">
        <v>6.2622799999999996</v>
      </c>
      <c r="O364" s="79">
        <v>15.71369</v>
      </c>
      <c r="P364" s="79">
        <v>2244.02475</v>
      </c>
      <c r="Q364" s="77"/>
      <c r="R364" s="77"/>
      <c r="S364" s="77"/>
      <c r="T364" s="77"/>
      <c r="U364" s="77"/>
      <c r="V364" s="87"/>
      <c r="W364" s="87"/>
      <c r="X364" s="87"/>
      <c r="Y364" s="77"/>
      <c r="Z364" s="88"/>
      <c r="AA364" s="35"/>
      <c r="AB364" s="35"/>
    </row>
    <row r="365" spans="1:28" x14ac:dyDescent="0.25">
      <c r="A365" s="68" t="str">
        <f t="shared" si="18"/>
        <v>550762</v>
      </c>
      <c r="B365" s="10">
        <f t="shared" si="19"/>
        <v>130.31021000000001</v>
      </c>
      <c r="C365" s="77" t="s">
        <v>5018</v>
      </c>
      <c r="D365" s="191" t="str">
        <f t="shared" si="17"/>
        <v>StrongLumio krycí lišta k LED profilům Maglyte-10 naklapávací, 2030mm mléčná</v>
      </c>
      <c r="E365" s="77" t="s">
        <v>1935</v>
      </c>
      <c r="F365" s="77" t="s">
        <v>1936</v>
      </c>
      <c r="G365" s="77" t="s">
        <v>1938</v>
      </c>
      <c r="H365" s="77" t="s">
        <v>1937</v>
      </c>
      <c r="I365" s="77" t="s">
        <v>795</v>
      </c>
      <c r="J365" s="90">
        <v>20</v>
      </c>
      <c r="K365" s="91">
        <v>1</v>
      </c>
      <c r="L365" s="77" t="s">
        <v>227</v>
      </c>
      <c r="M365" s="78">
        <v>130.31021000000001</v>
      </c>
      <c r="N365" s="79">
        <v>5.1051700000000002</v>
      </c>
      <c r="O365" s="79">
        <v>12.81015</v>
      </c>
      <c r="P365" s="79">
        <v>1829.37735</v>
      </c>
      <c r="Q365" s="77"/>
      <c r="R365" s="77"/>
      <c r="S365" s="77"/>
      <c r="T365" s="77"/>
      <c r="U365" s="77"/>
      <c r="V365" s="87"/>
      <c r="W365" s="87"/>
      <c r="X365" s="87"/>
      <c r="Y365" s="77"/>
      <c r="Z365" s="88"/>
      <c r="AA365" s="35"/>
      <c r="AB365" s="35"/>
    </row>
    <row r="366" spans="1:28" x14ac:dyDescent="0.25">
      <c r="A366" s="68" t="str">
        <f t="shared" si="18"/>
        <v>550767</v>
      </c>
      <c r="B366" s="10">
        <f t="shared" si="19"/>
        <v>236.69755000000001</v>
      </c>
      <c r="C366" s="77" t="s">
        <v>5019</v>
      </c>
      <c r="D366" s="191" t="str">
        <f t="shared" si="17"/>
        <v>StrongLumio krycí lišta k LED profilům Maglyte-10 naklapávací, 3030mm černá</v>
      </c>
      <c r="E366" s="77" t="s">
        <v>1939</v>
      </c>
      <c r="F366" s="77" t="s">
        <v>1940</v>
      </c>
      <c r="G366" s="77" t="s">
        <v>1942</v>
      </c>
      <c r="H366" s="77" t="s">
        <v>1941</v>
      </c>
      <c r="I366" s="77" t="s">
        <v>795</v>
      </c>
      <c r="J366" s="90">
        <v>20</v>
      </c>
      <c r="K366" s="91">
        <v>1</v>
      </c>
      <c r="L366" s="77" t="s">
        <v>227</v>
      </c>
      <c r="M366" s="78">
        <v>236.69755000000001</v>
      </c>
      <c r="N366" s="79">
        <v>9.2730800000000002</v>
      </c>
      <c r="O366" s="79">
        <v>23.268550000000001</v>
      </c>
      <c r="P366" s="79">
        <v>3322.9103599999999</v>
      </c>
      <c r="Q366" s="77"/>
      <c r="R366" s="77"/>
      <c r="S366" s="77"/>
      <c r="T366" s="77"/>
      <c r="U366" s="77"/>
      <c r="V366" s="87"/>
      <c r="W366" s="87"/>
      <c r="X366" s="87"/>
      <c r="Y366" s="77"/>
      <c r="Z366" s="88"/>
      <c r="AA366" s="35"/>
      <c r="AB366" s="35"/>
    </row>
    <row r="367" spans="1:28" x14ac:dyDescent="0.25">
      <c r="A367" s="68" t="str">
        <f t="shared" si="18"/>
        <v>550766</v>
      </c>
      <c r="B367" s="10">
        <f t="shared" si="19"/>
        <v>192.45454000000001</v>
      </c>
      <c r="C367" s="77" t="s">
        <v>5020</v>
      </c>
      <c r="D367" s="191" t="str">
        <f t="shared" si="17"/>
        <v>StrongLumio krycí lišta k LED profilům Maglyte-10 naklapávací, 3030mm mléčná</v>
      </c>
      <c r="E367" s="77" t="s">
        <v>1943</v>
      </c>
      <c r="F367" s="77" t="s">
        <v>1944</v>
      </c>
      <c r="G367" s="77" t="s">
        <v>1946</v>
      </c>
      <c r="H367" s="77" t="s">
        <v>1945</v>
      </c>
      <c r="I367" s="77" t="s">
        <v>795</v>
      </c>
      <c r="J367" s="90">
        <v>20</v>
      </c>
      <c r="K367" s="91">
        <v>1</v>
      </c>
      <c r="L367" s="77" t="s">
        <v>227</v>
      </c>
      <c r="M367" s="78">
        <v>192.45454000000001</v>
      </c>
      <c r="N367" s="79">
        <v>7.5397699999999999</v>
      </c>
      <c r="O367" s="79">
        <v>18.919239999999999</v>
      </c>
      <c r="P367" s="79">
        <v>2701.7989499999999</v>
      </c>
      <c r="Q367" s="77"/>
      <c r="R367" s="77"/>
      <c r="S367" s="77"/>
      <c r="T367" s="77"/>
      <c r="U367" s="77"/>
      <c r="V367" s="87"/>
      <c r="W367" s="87"/>
      <c r="X367" s="87"/>
      <c r="Y367" s="77"/>
      <c r="Z367" s="88"/>
      <c r="AA367" s="35"/>
      <c r="AB367" s="35"/>
    </row>
    <row r="368" spans="1:28" x14ac:dyDescent="0.25">
      <c r="A368" s="68" t="str">
        <f t="shared" si="18"/>
        <v>315145</v>
      </c>
      <c r="B368" s="10">
        <f t="shared" si="19"/>
        <v>256.68799999999999</v>
      </c>
      <c r="C368" s="77" t="s">
        <v>5021</v>
      </c>
      <c r="D368" s="191" t="str">
        <f t="shared" si="17"/>
        <v>StrongLumio krycí lišta k VARIO C9 naklapávací mléčná 2000mm</v>
      </c>
      <c r="E368" s="77" t="s">
        <v>1947</v>
      </c>
      <c r="F368" s="77" t="s">
        <v>1948</v>
      </c>
      <c r="G368" s="77" t="s">
        <v>1950</v>
      </c>
      <c r="H368" s="77" t="s">
        <v>1949</v>
      </c>
      <c r="I368" s="77" t="s">
        <v>795</v>
      </c>
      <c r="J368" s="90">
        <v>20</v>
      </c>
      <c r="K368" s="91">
        <v>1</v>
      </c>
      <c r="L368" s="77" t="s">
        <v>6565</v>
      </c>
      <c r="M368" s="78">
        <v>256.68799999999999</v>
      </c>
      <c r="N368" s="79">
        <v>10.162319999999999</v>
      </c>
      <c r="O368" s="79">
        <v>26.596900000000002</v>
      </c>
      <c r="P368" s="79">
        <v>3636.8749899999998</v>
      </c>
      <c r="Q368" s="77"/>
      <c r="R368" s="77"/>
      <c r="S368" s="77"/>
      <c r="T368" s="77"/>
      <c r="U368" s="77"/>
      <c r="V368" s="87"/>
      <c r="W368" s="87"/>
      <c r="X368" s="87"/>
      <c r="Y368" s="77"/>
      <c r="Z368" s="88"/>
      <c r="AA368" s="35"/>
      <c r="AB368" s="35"/>
    </row>
    <row r="369" spans="1:28" x14ac:dyDescent="0.25">
      <c r="A369" s="68" t="str">
        <f t="shared" si="18"/>
        <v>367249</v>
      </c>
      <c r="B369" s="10">
        <f t="shared" si="19"/>
        <v>124.18848</v>
      </c>
      <c r="C369" s="77" t="s">
        <v>5022</v>
      </c>
      <c r="D369" s="191" t="str">
        <f t="shared" si="17"/>
        <v>StrongLumio krycí lišta kulatá Belcore, 2000mm matná</v>
      </c>
      <c r="E369" s="77" t="s">
        <v>1951</v>
      </c>
      <c r="F369" s="77" t="s">
        <v>1952</v>
      </c>
      <c r="G369" s="77" t="s">
        <v>1954</v>
      </c>
      <c r="H369" s="77" t="s">
        <v>1953</v>
      </c>
      <c r="I369" s="77" t="s">
        <v>795</v>
      </c>
      <c r="J369" s="90">
        <v>1</v>
      </c>
      <c r="K369" s="91">
        <v>1</v>
      </c>
      <c r="L369" s="77" t="s">
        <v>227</v>
      </c>
      <c r="M369" s="78">
        <v>124.18848</v>
      </c>
      <c r="N369" s="79">
        <v>4.8437599999999996</v>
      </c>
      <c r="O369" s="79">
        <v>14.71322</v>
      </c>
      <c r="P369" s="79">
        <v>1764.0409199999999</v>
      </c>
      <c r="Q369" s="77"/>
      <c r="R369" s="77"/>
      <c r="S369" s="77"/>
      <c r="T369" s="77"/>
      <c r="U369" s="77"/>
      <c r="V369" s="87"/>
      <c r="W369" s="87"/>
      <c r="X369" s="87"/>
      <c r="Y369" s="77"/>
      <c r="Z369" s="88"/>
      <c r="AA369" s="35"/>
      <c r="AB369" s="35"/>
    </row>
    <row r="370" spans="1:28" x14ac:dyDescent="0.25">
      <c r="A370" s="68" t="str">
        <f t="shared" si="18"/>
        <v>342526</v>
      </c>
      <c r="B370" s="10">
        <f t="shared" si="19"/>
        <v>137.01136</v>
      </c>
      <c r="C370" s="77" t="s">
        <v>5023</v>
      </c>
      <c r="D370" s="191" t="str">
        <f t="shared" si="17"/>
        <v>StrongLumio krycí lišta kulatá Belcore, 2m mléčná</v>
      </c>
      <c r="E370" s="77" t="s">
        <v>1955</v>
      </c>
      <c r="F370" s="77" t="s">
        <v>1956</v>
      </c>
      <c r="G370" s="77" t="s">
        <v>1958</v>
      </c>
      <c r="H370" s="77" t="s">
        <v>1957</v>
      </c>
      <c r="I370" s="77" t="s">
        <v>795</v>
      </c>
      <c r="J370" s="90">
        <v>1</v>
      </c>
      <c r="K370" s="91">
        <v>1</v>
      </c>
      <c r="L370" s="77" t="s">
        <v>227</v>
      </c>
      <c r="M370" s="78">
        <v>137.01136</v>
      </c>
      <c r="N370" s="79">
        <v>5.46434</v>
      </c>
      <c r="O370" s="79">
        <v>15.317629999999999</v>
      </c>
      <c r="P370" s="79">
        <v>1792.4931899999999</v>
      </c>
      <c r="Q370" s="77"/>
      <c r="R370" s="77"/>
      <c r="S370" s="77"/>
      <c r="T370" s="77"/>
      <c r="U370" s="77"/>
      <c r="V370" s="87"/>
      <c r="W370" s="87"/>
      <c r="X370" s="87"/>
      <c r="Y370" s="77"/>
      <c r="Z370" s="88"/>
      <c r="AA370" s="35"/>
      <c r="AB370" s="35"/>
    </row>
    <row r="371" spans="1:28" x14ac:dyDescent="0.25">
      <c r="A371" s="68" t="str">
        <f t="shared" si="18"/>
        <v>405212</v>
      </c>
      <c r="B371" s="10">
        <f t="shared" si="19"/>
        <v>78.118560000000002</v>
      </c>
      <c r="C371" s="77" t="s">
        <v>5024</v>
      </c>
      <c r="D371" s="191" t="str">
        <f t="shared" si="17"/>
        <v>StrongLumio krycí lišta pro LED profil Arbona, 2000mm matná</v>
      </c>
      <c r="E371" s="77" t="s">
        <v>1959</v>
      </c>
      <c r="F371" s="77" t="s">
        <v>1960</v>
      </c>
      <c r="G371" s="77" t="s">
        <v>1962</v>
      </c>
      <c r="H371" s="77" t="s">
        <v>1961</v>
      </c>
      <c r="I371" s="77" t="s">
        <v>795</v>
      </c>
      <c r="J371" s="90">
        <v>100</v>
      </c>
      <c r="K371" s="91">
        <v>1</v>
      </c>
      <c r="L371" s="77" t="s">
        <v>227</v>
      </c>
      <c r="M371" s="78">
        <v>78.118560000000002</v>
      </c>
      <c r="N371" s="79">
        <v>3.0468600000000001</v>
      </c>
      <c r="O371" s="79">
        <v>8.2261299999999995</v>
      </c>
      <c r="P371" s="79">
        <v>1109.6386399999999</v>
      </c>
      <c r="Q371" s="77"/>
      <c r="R371" s="77"/>
      <c r="S371" s="77"/>
      <c r="T371" s="77"/>
      <c r="U371" s="77"/>
      <c r="V371" s="87"/>
      <c r="W371" s="87"/>
      <c r="X371" s="87"/>
      <c r="Y371" s="77"/>
      <c r="Z371" s="88"/>
      <c r="AA371" s="35"/>
      <c r="AB371" s="35"/>
    </row>
    <row r="372" spans="1:28" x14ac:dyDescent="0.25">
      <c r="A372" s="68" t="str">
        <f t="shared" si="18"/>
        <v>405211</v>
      </c>
      <c r="B372" s="10">
        <f t="shared" si="19"/>
        <v>78.118560000000002</v>
      </c>
      <c r="C372" s="77" t="s">
        <v>5025</v>
      </c>
      <c r="D372" s="191" t="str">
        <f t="shared" si="17"/>
        <v>StrongLumio krycí lišta pro LED profil Arbona, 2000mm mléčná</v>
      </c>
      <c r="E372" s="77" t="s">
        <v>1963</v>
      </c>
      <c r="F372" s="77" t="s">
        <v>1964</v>
      </c>
      <c r="G372" s="77" t="s">
        <v>1966</v>
      </c>
      <c r="H372" s="77" t="s">
        <v>1965</v>
      </c>
      <c r="I372" s="77" t="s">
        <v>795</v>
      </c>
      <c r="J372" s="90">
        <v>100</v>
      </c>
      <c r="K372" s="91">
        <v>1</v>
      </c>
      <c r="L372" s="77" t="s">
        <v>227</v>
      </c>
      <c r="M372" s="78">
        <v>78.118560000000002</v>
      </c>
      <c r="N372" s="79">
        <v>3.0468600000000001</v>
      </c>
      <c r="O372" s="79">
        <v>8.4677500000000006</v>
      </c>
      <c r="P372" s="79">
        <v>1109.6386399999999</v>
      </c>
      <c r="Q372" s="77"/>
      <c r="R372" s="77"/>
      <c r="S372" s="77"/>
      <c r="T372" s="77"/>
      <c r="U372" s="77"/>
      <c r="V372" s="87"/>
      <c r="W372" s="87"/>
      <c r="X372" s="87"/>
      <c r="Y372" s="77"/>
      <c r="Z372" s="88"/>
      <c r="AA372" s="35"/>
      <c r="AB372" s="35"/>
    </row>
    <row r="373" spans="1:28" x14ac:dyDescent="0.25">
      <c r="A373" s="68" t="str">
        <f t="shared" si="18"/>
        <v>367242</v>
      </c>
      <c r="B373" s="10">
        <f t="shared" si="19"/>
        <v>116.17632</v>
      </c>
      <c r="C373" s="77" t="s">
        <v>5026</v>
      </c>
      <c r="D373" s="191" t="str">
        <f t="shared" si="17"/>
        <v>StrongLumio krycí lišta pro LED profil Fanto, 2000mm matná</v>
      </c>
      <c r="E373" s="77" t="s">
        <v>1967</v>
      </c>
      <c r="F373" s="77" t="s">
        <v>1968</v>
      </c>
      <c r="G373" s="77" t="s">
        <v>1970</v>
      </c>
      <c r="H373" s="77" t="s">
        <v>1969</v>
      </c>
      <c r="I373" s="77" t="s">
        <v>795</v>
      </c>
      <c r="J373" s="90">
        <v>100</v>
      </c>
      <c r="K373" s="91">
        <v>1</v>
      </c>
      <c r="L373" s="77" t="s">
        <v>227</v>
      </c>
      <c r="M373" s="78">
        <v>116.17632</v>
      </c>
      <c r="N373" s="79">
        <v>4.5312799999999998</v>
      </c>
      <c r="O373" s="79">
        <v>12.022449999999999</v>
      </c>
      <c r="P373" s="79">
        <v>1650.2318399999999</v>
      </c>
      <c r="Q373" s="77"/>
      <c r="R373" s="77"/>
      <c r="S373" s="77"/>
      <c r="T373" s="77"/>
      <c r="U373" s="77"/>
      <c r="V373" s="87"/>
      <c r="W373" s="87"/>
      <c r="X373" s="87"/>
      <c r="Y373" s="77"/>
      <c r="Z373" s="88"/>
      <c r="AA373" s="35"/>
      <c r="AB373" s="35"/>
    </row>
    <row r="374" spans="1:28" x14ac:dyDescent="0.25">
      <c r="A374" s="68" t="str">
        <f t="shared" si="18"/>
        <v>342531</v>
      </c>
      <c r="B374" s="10">
        <f t="shared" si="19"/>
        <v>116.17632</v>
      </c>
      <c r="C374" s="77" t="s">
        <v>5027</v>
      </c>
      <c r="D374" s="191" t="str">
        <f t="shared" si="17"/>
        <v>StrongLumio krycí lišta pro LED profil Fanto, 2m mléčná</v>
      </c>
      <c r="E374" s="77" t="s">
        <v>1971</v>
      </c>
      <c r="F374" s="77" t="s">
        <v>1972</v>
      </c>
      <c r="G374" s="77" t="s">
        <v>1974</v>
      </c>
      <c r="H374" s="77" t="s">
        <v>1973</v>
      </c>
      <c r="I374" s="77" t="s">
        <v>795</v>
      </c>
      <c r="J374" s="90">
        <v>100</v>
      </c>
      <c r="K374" s="91">
        <v>1</v>
      </c>
      <c r="L374" s="77" t="s">
        <v>227</v>
      </c>
      <c r="M374" s="78">
        <v>116.17632</v>
      </c>
      <c r="N374" s="79">
        <v>4.5312799999999998</v>
      </c>
      <c r="O374" s="79">
        <v>12.4321</v>
      </c>
      <c r="P374" s="79">
        <v>1650.2318399999999</v>
      </c>
      <c r="Q374" s="77"/>
      <c r="R374" s="77"/>
      <c r="S374" s="77"/>
      <c r="T374" s="77"/>
      <c r="U374" s="77"/>
      <c r="V374" s="87"/>
      <c r="W374" s="87"/>
      <c r="X374" s="87"/>
      <c r="Y374" s="77"/>
      <c r="Z374" s="88"/>
      <c r="AA374" s="35"/>
      <c r="AB374" s="35"/>
    </row>
    <row r="375" spans="1:28" x14ac:dyDescent="0.25">
      <c r="A375" s="68" t="str">
        <f t="shared" si="18"/>
        <v>367241</v>
      </c>
      <c r="B375" s="10">
        <f t="shared" si="19"/>
        <v>95.144400000000005</v>
      </c>
      <c r="C375" s="77" t="s">
        <v>5028</v>
      </c>
      <c r="D375" s="191" t="str">
        <f t="shared" si="17"/>
        <v>StrongLumio krycí lišta pro LED profil Ormio, 2000mm matná</v>
      </c>
      <c r="E375" s="77" t="s">
        <v>1975</v>
      </c>
      <c r="F375" s="77" t="s">
        <v>1976</v>
      </c>
      <c r="G375" s="77" t="s">
        <v>1978</v>
      </c>
      <c r="H375" s="77" t="s">
        <v>1977</v>
      </c>
      <c r="I375" s="77" t="s">
        <v>795</v>
      </c>
      <c r="J375" s="90">
        <v>1</v>
      </c>
      <c r="K375" s="91">
        <v>1</v>
      </c>
      <c r="L375" s="77" t="s">
        <v>227</v>
      </c>
      <c r="M375" s="78">
        <v>95.144400000000005</v>
      </c>
      <c r="N375" s="79">
        <v>3.71095</v>
      </c>
      <c r="O375" s="79">
        <v>10.28905</v>
      </c>
      <c r="P375" s="79">
        <v>1351.48297</v>
      </c>
      <c r="Q375" s="77"/>
      <c r="R375" s="77"/>
      <c r="S375" s="77"/>
      <c r="T375" s="77"/>
      <c r="U375" s="77"/>
      <c r="V375" s="87"/>
      <c r="W375" s="87"/>
      <c r="X375" s="87"/>
      <c r="Y375" s="77"/>
      <c r="Z375" s="88"/>
      <c r="AA375" s="35"/>
      <c r="AB375" s="35"/>
    </row>
    <row r="376" spans="1:28" x14ac:dyDescent="0.25">
      <c r="A376" s="68" t="str">
        <f t="shared" si="18"/>
        <v>342522</v>
      </c>
      <c r="B376" s="10">
        <f t="shared" si="19"/>
        <v>115.23472</v>
      </c>
      <c r="C376" s="77" t="s">
        <v>5029</v>
      </c>
      <c r="D376" s="191" t="str">
        <f t="shared" si="17"/>
        <v>StrongLumio krycí lišta pro LED profil Ormio, 2m mléčná</v>
      </c>
      <c r="E376" s="77" t="s">
        <v>1979</v>
      </c>
      <c r="F376" s="77" t="s">
        <v>1980</v>
      </c>
      <c r="G376" s="77" t="s">
        <v>1982</v>
      </c>
      <c r="H376" s="77" t="s">
        <v>1981</v>
      </c>
      <c r="I376" s="77" t="s">
        <v>795</v>
      </c>
      <c r="J376" s="90">
        <v>1</v>
      </c>
      <c r="K376" s="91">
        <v>1</v>
      </c>
      <c r="L376" s="77" t="s">
        <v>227</v>
      </c>
      <c r="M376" s="78">
        <v>115.23472</v>
      </c>
      <c r="N376" s="79">
        <v>4.5958199999999998</v>
      </c>
      <c r="O376" s="79">
        <v>12.883039999999999</v>
      </c>
      <c r="P376" s="79">
        <v>1351.48297</v>
      </c>
      <c r="Q376" s="77"/>
      <c r="R376" s="77"/>
      <c r="S376" s="77"/>
      <c r="T376" s="77"/>
      <c r="U376" s="77"/>
      <c r="V376" s="87"/>
      <c r="W376" s="87"/>
      <c r="X376" s="87"/>
      <c r="Y376" s="77"/>
      <c r="Z376" s="88"/>
      <c r="AA376" s="35"/>
      <c r="AB376" s="35"/>
    </row>
    <row r="377" spans="1:28" x14ac:dyDescent="0.25">
      <c r="A377" s="68" t="str">
        <f t="shared" si="18"/>
        <v>405281</v>
      </c>
      <c r="B377" s="10">
        <f t="shared" si="19"/>
        <v>120.1824</v>
      </c>
      <c r="C377" s="77" t="s">
        <v>5030</v>
      </c>
      <c r="D377" s="191" t="str">
        <f t="shared" si="17"/>
        <v>StrongLumio krycí lišta pro LED profil Rail, 2000mm mléčná</v>
      </c>
      <c r="E377" s="77" t="s">
        <v>1983</v>
      </c>
      <c r="F377" s="77" t="s">
        <v>1984</v>
      </c>
      <c r="G377" s="77" t="s">
        <v>1986</v>
      </c>
      <c r="H377" s="77" t="s">
        <v>1985</v>
      </c>
      <c r="I377" s="77" t="s">
        <v>795</v>
      </c>
      <c r="J377" s="90">
        <v>1</v>
      </c>
      <c r="K377" s="91">
        <v>1</v>
      </c>
      <c r="L377" s="77" t="s">
        <v>227</v>
      </c>
      <c r="M377" s="78">
        <v>120.1824</v>
      </c>
      <c r="N377" s="79">
        <v>4.6875200000000001</v>
      </c>
      <c r="O377" s="79">
        <v>12.382</v>
      </c>
      <c r="P377" s="79">
        <v>1707.1363799999999</v>
      </c>
      <c r="Q377" s="77"/>
      <c r="R377" s="77"/>
      <c r="S377" s="77"/>
      <c r="T377" s="77"/>
      <c r="U377" s="77"/>
      <c r="V377" s="87"/>
      <c r="W377" s="87"/>
      <c r="X377" s="87"/>
      <c r="Y377" s="77"/>
      <c r="Z377" s="88"/>
      <c r="AA377" s="35"/>
      <c r="AB377" s="35"/>
    </row>
    <row r="378" spans="1:28" x14ac:dyDescent="0.25">
      <c r="A378" s="68" t="str">
        <f t="shared" si="18"/>
        <v>312317</v>
      </c>
      <c r="B378" s="10">
        <f t="shared" si="19"/>
        <v>369.6</v>
      </c>
      <c r="C378" s="77" t="s">
        <v>5031</v>
      </c>
      <c r="D378" s="191" t="str">
        <f t="shared" si="17"/>
        <v>StrongLumio LED mechanický vypínač 12/24V do profilů, 90W/180W</v>
      </c>
      <c r="E378" s="77" t="s">
        <v>1987</v>
      </c>
      <c r="F378" s="77" t="s">
        <v>1988</v>
      </c>
      <c r="G378" s="77" t="s">
        <v>1990</v>
      </c>
      <c r="H378" s="77" t="s">
        <v>1989</v>
      </c>
      <c r="I378" s="77" t="s">
        <v>795</v>
      </c>
      <c r="J378" s="90">
        <v>10</v>
      </c>
      <c r="K378" s="91">
        <v>1</v>
      </c>
      <c r="L378" s="77" t="s">
        <v>227</v>
      </c>
      <c r="M378" s="78">
        <v>369.6</v>
      </c>
      <c r="N378" s="79">
        <v>15.82377</v>
      </c>
      <c r="O378" s="79">
        <v>52.192309999999999</v>
      </c>
      <c r="P378" s="79">
        <v>5456.25</v>
      </c>
      <c r="Q378" s="77"/>
      <c r="R378" s="77"/>
      <c r="S378" s="77"/>
      <c r="T378" s="77"/>
      <c r="U378" s="77"/>
      <c r="V378" s="87"/>
      <c r="W378" s="87"/>
      <c r="X378" s="87"/>
      <c r="Y378" s="77"/>
      <c r="Z378" s="88"/>
      <c r="AA378" s="35"/>
      <c r="AB378" s="35"/>
    </row>
    <row r="379" spans="1:28" x14ac:dyDescent="0.25">
      <c r="A379" s="68" t="str">
        <f t="shared" si="18"/>
        <v>312315</v>
      </c>
      <c r="B379" s="10">
        <f t="shared" si="19"/>
        <v>525</v>
      </c>
      <c r="C379" s="77" t="s">
        <v>5032</v>
      </c>
      <c r="D379" s="191" t="str">
        <f t="shared" si="17"/>
        <v>StrongLumio LED multivypínač 12/24V žlutá LED kontrolka</v>
      </c>
      <c r="E379" s="77" t="s">
        <v>1991</v>
      </c>
      <c r="F379" s="77" t="s">
        <v>1992</v>
      </c>
      <c r="G379" s="77" t="s">
        <v>1994</v>
      </c>
      <c r="H379" s="77" t="s">
        <v>1993</v>
      </c>
      <c r="I379" s="77" t="s">
        <v>795</v>
      </c>
      <c r="J379" s="90">
        <v>10</v>
      </c>
      <c r="K379" s="91">
        <v>1</v>
      </c>
      <c r="L379" s="77" t="s">
        <v>160</v>
      </c>
      <c r="M379" s="78">
        <v>525</v>
      </c>
      <c r="N379" s="79">
        <v>20.143879999999999</v>
      </c>
      <c r="O379" s="79">
        <v>83.03322</v>
      </c>
      <c r="P379" s="79">
        <v>7274.6923800000004</v>
      </c>
      <c r="Q379" s="77"/>
      <c r="R379" s="77"/>
      <c r="S379" s="77"/>
      <c r="T379" s="77"/>
      <c r="U379" s="77"/>
      <c r="V379" s="87"/>
      <c r="W379" s="87"/>
      <c r="X379" s="87"/>
      <c r="Y379" s="77"/>
      <c r="Z379" s="88"/>
      <c r="AA379" s="35"/>
      <c r="AB379" s="35"/>
    </row>
    <row r="380" spans="1:28" x14ac:dyDescent="0.25">
      <c r="A380" s="68" t="str">
        <f t="shared" si="18"/>
        <v>231396</v>
      </c>
      <c r="B380" s="10">
        <f t="shared" si="19"/>
        <v>128.94569999999999</v>
      </c>
      <c r="C380" s="77" t="s">
        <v>5033</v>
      </c>
      <c r="D380" s="191" t="str">
        <f t="shared" si="17"/>
        <v>StrongLumio LED pásek 12V 12W/m (60 LED/m) 8mm IP65, bílá studená</v>
      </c>
      <c r="E380" s="77" t="s">
        <v>1995</v>
      </c>
      <c r="F380" s="77" t="s">
        <v>1996</v>
      </c>
      <c r="G380" s="77" t="s">
        <v>1998</v>
      </c>
      <c r="H380" s="77" t="s">
        <v>1997</v>
      </c>
      <c r="I380" s="77" t="s">
        <v>992</v>
      </c>
      <c r="J380" s="90">
        <v>5</v>
      </c>
      <c r="K380" s="91">
        <v>1</v>
      </c>
      <c r="L380" s="77" t="s">
        <v>227</v>
      </c>
      <c r="M380" s="78">
        <v>128.94569999999999</v>
      </c>
      <c r="N380" s="79">
        <v>5.1729799999999999</v>
      </c>
      <c r="O380" s="79">
        <v>13.78093</v>
      </c>
      <c r="P380" s="79">
        <v>1674.6194800000001</v>
      </c>
      <c r="Q380" s="77"/>
      <c r="R380" s="77"/>
      <c r="S380" s="77"/>
      <c r="T380" s="77"/>
      <c r="U380" s="77"/>
      <c r="V380" s="87"/>
      <c r="W380" s="87"/>
      <c r="X380" s="87"/>
      <c r="Y380" s="77"/>
      <c r="Z380" s="88"/>
      <c r="AA380" s="35"/>
      <c r="AB380" s="35"/>
    </row>
    <row r="381" spans="1:28" x14ac:dyDescent="0.25">
      <c r="A381" s="68" t="str">
        <f t="shared" si="18"/>
        <v>231401</v>
      </c>
      <c r="B381" s="10">
        <f t="shared" si="19"/>
        <v>128.94569999999999</v>
      </c>
      <c r="C381" s="77" t="s">
        <v>5034</v>
      </c>
      <c r="D381" s="191" t="str">
        <f t="shared" si="17"/>
        <v>StrongLumio LED pásek 12V 12W/m (60 LED/m) 8mm IP65, bílá teplá</v>
      </c>
      <c r="E381" s="77" t="s">
        <v>1999</v>
      </c>
      <c r="F381" s="77" t="s">
        <v>2000</v>
      </c>
      <c r="G381" s="77" t="s">
        <v>2002</v>
      </c>
      <c r="H381" s="77" t="s">
        <v>2001</v>
      </c>
      <c r="I381" s="77" t="s">
        <v>992</v>
      </c>
      <c r="J381" s="90">
        <v>5</v>
      </c>
      <c r="K381" s="91">
        <v>1</v>
      </c>
      <c r="L381" s="77" t="s">
        <v>227</v>
      </c>
      <c r="M381" s="78">
        <v>128.94569999999999</v>
      </c>
      <c r="N381" s="79">
        <v>5.1729799999999999</v>
      </c>
      <c r="O381" s="79">
        <v>13.78003</v>
      </c>
      <c r="P381" s="79">
        <v>1674.6194800000001</v>
      </c>
      <c r="Q381" s="77"/>
      <c r="R381" s="77"/>
      <c r="S381" s="77"/>
      <c r="T381" s="77"/>
      <c r="U381" s="77"/>
      <c r="V381" s="87"/>
      <c r="W381" s="87"/>
      <c r="X381" s="87"/>
      <c r="Y381" s="77"/>
      <c r="Z381" s="88"/>
      <c r="AA381" s="35"/>
      <c r="AB381" s="35"/>
    </row>
    <row r="382" spans="1:28" x14ac:dyDescent="0.25">
      <c r="A382" s="68" t="str">
        <f t="shared" si="18"/>
        <v>250030</v>
      </c>
      <c r="B382" s="10">
        <f t="shared" si="19"/>
        <v>83.655000000000001</v>
      </c>
      <c r="C382" s="77" t="s">
        <v>5035</v>
      </c>
      <c r="D382" s="191" t="str">
        <f t="shared" si="17"/>
        <v>StrongLumio LED pásek 12V 12W/m (60 LED/m) 8mm, bílá neutrální</v>
      </c>
      <c r="E382" s="77" t="s">
        <v>689</v>
      </c>
      <c r="F382" s="77" t="s">
        <v>690</v>
      </c>
      <c r="G382" s="77" t="s">
        <v>691</v>
      </c>
      <c r="H382" s="77" t="s">
        <v>692</v>
      </c>
      <c r="I382" s="77" t="s">
        <v>992</v>
      </c>
      <c r="J382" s="90">
        <v>50</v>
      </c>
      <c r="K382" s="91">
        <v>1</v>
      </c>
      <c r="L382" s="77" t="s">
        <v>276</v>
      </c>
      <c r="M382" s="78">
        <v>83.655000000000001</v>
      </c>
      <c r="N382" s="79">
        <v>3.3468300000000002</v>
      </c>
      <c r="O382" s="79">
        <v>6.65761</v>
      </c>
      <c r="P382" s="79">
        <v>950.62499000000003</v>
      </c>
      <c r="Q382" s="77"/>
      <c r="R382" s="77"/>
      <c r="S382" s="77"/>
      <c r="T382" s="77"/>
      <c r="U382" s="77"/>
      <c r="V382" s="87"/>
      <c r="W382" s="87"/>
      <c r="X382" s="87"/>
      <c r="Y382" s="77"/>
      <c r="Z382" s="88"/>
      <c r="AA382" s="35"/>
      <c r="AB382" s="35"/>
    </row>
    <row r="383" spans="1:28" x14ac:dyDescent="0.25">
      <c r="A383" s="68" t="str">
        <f t="shared" si="18"/>
        <v>231388</v>
      </c>
      <c r="B383" s="10">
        <f t="shared" si="19"/>
        <v>83.655000000000001</v>
      </c>
      <c r="C383" s="77" t="s">
        <v>5036</v>
      </c>
      <c r="D383" s="191" t="str">
        <f t="shared" si="17"/>
        <v>StrongLumio LED pásek 12V 12W/m (60 LED/m) 8mm, bílá studená</v>
      </c>
      <c r="E383" s="77" t="s">
        <v>665</v>
      </c>
      <c r="F383" s="77" t="s">
        <v>666</v>
      </c>
      <c r="G383" s="77" t="s">
        <v>667</v>
      </c>
      <c r="H383" s="77" t="s">
        <v>668</v>
      </c>
      <c r="I383" s="77" t="s">
        <v>992</v>
      </c>
      <c r="J383" s="90">
        <v>50</v>
      </c>
      <c r="K383" s="91">
        <v>1</v>
      </c>
      <c r="L383" s="77" t="s">
        <v>227</v>
      </c>
      <c r="M383" s="78">
        <v>83.655000000000001</v>
      </c>
      <c r="N383" s="79">
        <v>3.3468300000000002</v>
      </c>
      <c r="O383" s="79">
        <v>7.1032900000000003</v>
      </c>
      <c r="P383" s="79">
        <v>950.62499000000003</v>
      </c>
      <c r="Q383" s="77"/>
      <c r="R383" s="77"/>
      <c r="S383" s="77"/>
      <c r="T383" s="77"/>
      <c r="U383" s="77"/>
      <c r="V383" s="87"/>
      <c r="W383" s="87"/>
      <c r="X383" s="87"/>
      <c r="Y383" s="77"/>
      <c r="Z383" s="88"/>
      <c r="AA383" s="35"/>
      <c r="AB383" s="35"/>
    </row>
    <row r="384" spans="1:28" x14ac:dyDescent="0.25">
      <c r="A384" s="68" t="str">
        <f t="shared" si="18"/>
        <v>231394</v>
      </c>
      <c r="B384" s="10">
        <f t="shared" si="19"/>
        <v>83.655000000000001</v>
      </c>
      <c r="C384" s="77" t="s">
        <v>5037</v>
      </c>
      <c r="D384" s="191" t="str">
        <f t="shared" si="17"/>
        <v>StrongLumio LED pásek 12V 12W/m (60 LED/m) 8mm, bílá teplá</v>
      </c>
      <c r="E384" s="77" t="s">
        <v>675</v>
      </c>
      <c r="F384" s="77" t="s">
        <v>676</v>
      </c>
      <c r="G384" s="77" t="s">
        <v>677</v>
      </c>
      <c r="H384" s="77" t="s">
        <v>678</v>
      </c>
      <c r="I384" s="77" t="s">
        <v>992</v>
      </c>
      <c r="J384" s="90">
        <v>50</v>
      </c>
      <c r="K384" s="91">
        <v>1</v>
      </c>
      <c r="L384" s="77" t="s">
        <v>227</v>
      </c>
      <c r="M384" s="78">
        <v>83.655000000000001</v>
      </c>
      <c r="N384" s="79">
        <v>3.3468300000000002</v>
      </c>
      <c r="O384" s="79">
        <v>7.1032900000000003</v>
      </c>
      <c r="P384" s="79">
        <v>950.62499000000003</v>
      </c>
      <c r="Q384" s="77"/>
      <c r="R384" s="77"/>
      <c r="S384" s="77"/>
      <c r="T384" s="77"/>
      <c r="U384" s="77"/>
      <c r="V384" s="87"/>
      <c r="W384" s="87"/>
      <c r="X384" s="87"/>
      <c r="Y384" s="77"/>
      <c r="Z384" s="88"/>
      <c r="AA384" s="35"/>
      <c r="AB384" s="35"/>
    </row>
    <row r="385" spans="1:28" x14ac:dyDescent="0.25">
      <c r="A385" s="68" t="str">
        <f t="shared" si="18"/>
        <v>134102</v>
      </c>
      <c r="B385" s="10">
        <f t="shared" si="19"/>
        <v>301.7079</v>
      </c>
      <c r="C385" s="77" t="s">
        <v>5038</v>
      </c>
      <c r="D385" s="191" t="str">
        <f t="shared" si="17"/>
        <v>StrongLumio LED pásek 12V 14,4W/m (60 LED/m) 10mm IP65, bílá studená</v>
      </c>
      <c r="E385" s="77" t="s">
        <v>2003</v>
      </c>
      <c r="F385" s="77" t="s">
        <v>2004</v>
      </c>
      <c r="G385" s="77" t="s">
        <v>2006</v>
      </c>
      <c r="H385" s="77" t="s">
        <v>2005</v>
      </c>
      <c r="I385" s="77" t="s">
        <v>992</v>
      </c>
      <c r="J385" s="90">
        <v>5</v>
      </c>
      <c r="K385" s="91">
        <v>1</v>
      </c>
      <c r="L385" s="77" t="s">
        <v>160</v>
      </c>
      <c r="M385" s="78">
        <v>301.7079</v>
      </c>
      <c r="N385" s="79">
        <v>12.10379</v>
      </c>
      <c r="O385" s="79">
        <v>31.549150000000001</v>
      </c>
      <c r="P385" s="79">
        <v>3918.2844</v>
      </c>
      <c r="Q385" s="77"/>
      <c r="R385" s="77"/>
      <c r="S385" s="77"/>
      <c r="T385" s="77"/>
      <c r="U385" s="77"/>
      <c r="V385" s="87"/>
      <c r="W385" s="87"/>
      <c r="X385" s="87"/>
      <c r="Y385" s="77"/>
      <c r="Z385" s="88"/>
      <c r="AA385" s="35"/>
      <c r="AB385" s="35"/>
    </row>
    <row r="386" spans="1:28" x14ac:dyDescent="0.25">
      <c r="A386" s="68" t="str">
        <f t="shared" si="18"/>
        <v>291403</v>
      </c>
      <c r="B386" s="10">
        <f t="shared" si="19"/>
        <v>100.386</v>
      </c>
      <c r="C386" s="77" t="s">
        <v>5039</v>
      </c>
      <c r="D386" s="191" t="str">
        <f t="shared" si="17"/>
        <v>StrongLumio LED pásek 12V 14,4W/m (60 LED/m) 10mm, bílá neutrální</v>
      </c>
      <c r="E386" s="77" t="s">
        <v>2007</v>
      </c>
      <c r="F386" s="77" t="s">
        <v>2008</v>
      </c>
      <c r="G386" s="77" t="s">
        <v>2010</v>
      </c>
      <c r="H386" s="77" t="s">
        <v>2009</v>
      </c>
      <c r="I386" s="77" t="s">
        <v>992</v>
      </c>
      <c r="J386" s="90">
        <v>50</v>
      </c>
      <c r="K386" s="91">
        <v>1</v>
      </c>
      <c r="L386" s="77" t="s">
        <v>160</v>
      </c>
      <c r="M386" s="78">
        <v>100.386</v>
      </c>
      <c r="N386" s="79">
        <v>4.0161600000000002</v>
      </c>
      <c r="O386" s="79">
        <v>7.5788200000000003</v>
      </c>
      <c r="P386" s="79">
        <v>1140.75</v>
      </c>
      <c r="Q386" s="77"/>
      <c r="R386" s="77"/>
      <c r="S386" s="77"/>
      <c r="T386" s="77"/>
      <c r="U386" s="77"/>
      <c r="V386" s="87"/>
      <c r="W386" s="87"/>
      <c r="X386" s="87"/>
      <c r="Y386" s="77"/>
      <c r="Z386" s="88"/>
      <c r="AA386" s="35"/>
      <c r="AB386" s="35"/>
    </row>
    <row r="387" spans="1:28" x14ac:dyDescent="0.25">
      <c r="A387" s="68" t="str">
        <f t="shared" si="18"/>
        <v>132276</v>
      </c>
      <c r="B387" s="10">
        <f t="shared" si="19"/>
        <v>100.386</v>
      </c>
      <c r="C387" s="77" t="s">
        <v>5040</v>
      </c>
      <c r="D387" s="191" t="str">
        <f t="shared" ref="D387:D450" si="20">IF($B$1=1,E387,IF($B$1=2,F387,IF($B$1=3,G387,IF($B$1=4,H387))))</f>
        <v>StrongLumio LED pásek 12V 14,4W/m (60 LED/m) 10mm, bílá studená</v>
      </c>
      <c r="E387" s="77" t="s">
        <v>2011</v>
      </c>
      <c r="F387" s="77" t="s">
        <v>2012</v>
      </c>
      <c r="G387" s="77" t="s">
        <v>2013</v>
      </c>
      <c r="H387" s="77" t="s">
        <v>2005</v>
      </c>
      <c r="I387" s="77" t="s">
        <v>992</v>
      </c>
      <c r="J387" s="90">
        <v>50</v>
      </c>
      <c r="K387" s="91">
        <v>1</v>
      </c>
      <c r="L387" s="77" t="s">
        <v>160</v>
      </c>
      <c r="M387" s="78">
        <v>100.386</v>
      </c>
      <c r="N387" s="79">
        <v>4.0161600000000002</v>
      </c>
      <c r="O387" s="79">
        <v>8.1504600000000007</v>
      </c>
      <c r="P387" s="79">
        <v>1140.75</v>
      </c>
      <c r="Q387" s="77"/>
      <c r="R387" s="77"/>
      <c r="S387" s="77"/>
      <c r="T387" s="77"/>
      <c r="U387" s="77"/>
      <c r="V387" s="87"/>
      <c r="W387" s="87"/>
      <c r="X387" s="87"/>
      <c r="Y387" s="77"/>
      <c r="Z387" s="88"/>
      <c r="AA387" s="35"/>
      <c r="AB387" s="35"/>
    </row>
    <row r="388" spans="1:28" x14ac:dyDescent="0.25">
      <c r="A388" s="68" t="str">
        <f t="shared" si="18"/>
        <v>157844</v>
      </c>
      <c r="B388" s="10">
        <f t="shared" si="19"/>
        <v>100.386</v>
      </c>
      <c r="C388" s="77" t="s">
        <v>5041</v>
      </c>
      <c r="D388" s="191" t="str">
        <f t="shared" si="20"/>
        <v>StrongLumio LED pásek 12V 14,4W/m (60 LED/m) 10mm, bílá teplá</v>
      </c>
      <c r="E388" s="77" t="s">
        <v>2014</v>
      </c>
      <c r="F388" s="77" t="s">
        <v>2015</v>
      </c>
      <c r="G388" s="77" t="s">
        <v>2017</v>
      </c>
      <c r="H388" s="77" t="s">
        <v>2016</v>
      </c>
      <c r="I388" s="77" t="s">
        <v>992</v>
      </c>
      <c r="J388" s="90">
        <v>50</v>
      </c>
      <c r="K388" s="91">
        <v>1</v>
      </c>
      <c r="L388" s="77" t="s">
        <v>160</v>
      </c>
      <c r="M388" s="78">
        <v>100.386</v>
      </c>
      <c r="N388" s="79">
        <v>4.0161600000000002</v>
      </c>
      <c r="O388" s="79">
        <v>8.7983499999999992</v>
      </c>
      <c r="P388" s="79">
        <v>1140.75</v>
      </c>
      <c r="Q388" s="77"/>
      <c r="R388" s="77"/>
      <c r="S388" s="77"/>
      <c r="T388" s="77"/>
      <c r="U388" s="77"/>
      <c r="V388" s="87"/>
      <c r="W388" s="87"/>
      <c r="X388" s="87"/>
      <c r="Y388" s="77"/>
      <c r="Z388" s="88"/>
      <c r="AA388" s="35"/>
      <c r="AB388" s="35"/>
    </row>
    <row r="389" spans="1:28" x14ac:dyDescent="0.25">
      <c r="A389" s="68" t="str">
        <f t="shared" si="18"/>
        <v>132266</v>
      </c>
      <c r="B389" s="10">
        <f t="shared" si="19"/>
        <v>116.4267</v>
      </c>
      <c r="C389" s="77" t="s">
        <v>5042</v>
      </c>
      <c r="D389" s="191" t="str">
        <f t="shared" si="20"/>
        <v>StrongLumio LED pásek 12V 4,8W/m (60 LED/m) 8mm IP65, bílá studená</v>
      </c>
      <c r="E389" s="77" t="s">
        <v>2018</v>
      </c>
      <c r="F389" s="77" t="s">
        <v>2019</v>
      </c>
      <c r="G389" s="77" t="s">
        <v>2021</v>
      </c>
      <c r="H389" s="77" t="s">
        <v>2020</v>
      </c>
      <c r="I389" s="77" t="s">
        <v>992</v>
      </c>
      <c r="J389" s="90">
        <v>5</v>
      </c>
      <c r="K389" s="91">
        <v>1</v>
      </c>
      <c r="L389" s="77" t="s">
        <v>227</v>
      </c>
      <c r="M389" s="78">
        <v>116.4267</v>
      </c>
      <c r="N389" s="79">
        <v>4.6707299999999998</v>
      </c>
      <c r="O389" s="79">
        <v>12.345079999999999</v>
      </c>
      <c r="P389" s="79">
        <v>1512.0350800000001</v>
      </c>
      <c r="Q389" s="77"/>
      <c r="R389" s="77"/>
      <c r="S389" s="77"/>
      <c r="T389" s="77"/>
      <c r="U389" s="77"/>
      <c r="V389" s="87"/>
      <c r="W389" s="87"/>
      <c r="X389" s="87"/>
      <c r="Y389" s="77"/>
      <c r="Z389" s="88"/>
      <c r="AA389" s="35"/>
      <c r="AB389" s="35"/>
    </row>
    <row r="390" spans="1:28" x14ac:dyDescent="0.25">
      <c r="A390" s="68" t="str">
        <f t="shared" si="18"/>
        <v>132267</v>
      </c>
      <c r="B390" s="10">
        <f t="shared" si="19"/>
        <v>116.4267</v>
      </c>
      <c r="C390" s="77" t="s">
        <v>5043</v>
      </c>
      <c r="D390" s="191" t="str">
        <f t="shared" si="20"/>
        <v>StrongLumio LED pásek 12V 4,8W/m (60 LED/m) 8mm IP65, bílá teplá</v>
      </c>
      <c r="E390" s="77" t="s">
        <v>2022</v>
      </c>
      <c r="F390" s="77" t="s">
        <v>2023</v>
      </c>
      <c r="G390" s="77" t="s">
        <v>2024</v>
      </c>
      <c r="H390" s="77" t="s">
        <v>658</v>
      </c>
      <c r="I390" s="77" t="s">
        <v>992</v>
      </c>
      <c r="J390" s="90">
        <v>5</v>
      </c>
      <c r="K390" s="91">
        <v>1</v>
      </c>
      <c r="L390" s="77" t="s">
        <v>227</v>
      </c>
      <c r="M390" s="78">
        <v>116.4267</v>
      </c>
      <c r="N390" s="79">
        <v>4.6707299999999998</v>
      </c>
      <c r="O390" s="79">
        <v>11.96133</v>
      </c>
      <c r="P390" s="79">
        <v>1512.0350800000001</v>
      </c>
      <c r="Q390" s="77"/>
      <c r="R390" s="77"/>
      <c r="S390" s="77"/>
      <c r="T390" s="77"/>
      <c r="U390" s="77"/>
      <c r="V390" s="87"/>
      <c r="W390" s="87"/>
      <c r="X390" s="87"/>
      <c r="Y390" s="77"/>
      <c r="Z390" s="88"/>
      <c r="AA390" s="35"/>
      <c r="AB390" s="35"/>
    </row>
    <row r="391" spans="1:28" x14ac:dyDescent="0.25">
      <c r="A391" s="68" t="str">
        <f t="shared" si="18"/>
        <v>249934</v>
      </c>
      <c r="B391" s="10">
        <f t="shared" si="19"/>
        <v>70.784999999999997</v>
      </c>
      <c r="C391" s="77" t="s">
        <v>5044</v>
      </c>
      <c r="D391" s="191" t="str">
        <f t="shared" si="20"/>
        <v>StrongLumio LED pásek 12V 4,8W/m (60 LED/m) 8mm, bílá neutrální</v>
      </c>
      <c r="E391" s="77" t="s">
        <v>188</v>
      </c>
      <c r="F391" s="77" t="s">
        <v>680</v>
      </c>
      <c r="G391" s="77" t="s">
        <v>681</v>
      </c>
      <c r="H391" s="77" t="s">
        <v>682</v>
      </c>
      <c r="I391" s="77" t="s">
        <v>992</v>
      </c>
      <c r="J391" s="90">
        <v>50</v>
      </c>
      <c r="K391" s="91">
        <v>1</v>
      </c>
      <c r="L391" s="77" t="s">
        <v>276</v>
      </c>
      <c r="M391" s="78">
        <v>70.784999999999997</v>
      </c>
      <c r="N391" s="79">
        <v>2.8319000000000001</v>
      </c>
      <c r="O391" s="79">
        <v>5.6283200000000004</v>
      </c>
      <c r="P391" s="79">
        <v>804.37500999999997</v>
      </c>
      <c r="Q391" s="77"/>
      <c r="R391" s="77"/>
      <c r="S391" s="77"/>
      <c r="T391" s="77"/>
      <c r="U391" s="77"/>
      <c r="V391" s="87"/>
      <c r="W391" s="87"/>
      <c r="X391" s="87"/>
      <c r="Y391" s="77"/>
      <c r="Z391" s="88"/>
      <c r="AA391" s="35"/>
      <c r="AB391" s="35"/>
    </row>
    <row r="392" spans="1:28" x14ac:dyDescent="0.25">
      <c r="A392" s="68" t="str">
        <f t="shared" si="18"/>
        <v>131573</v>
      </c>
      <c r="B392" s="10">
        <f t="shared" si="19"/>
        <v>64.13</v>
      </c>
      <c r="C392" s="77" t="s">
        <v>5045</v>
      </c>
      <c r="D392" s="191" t="str">
        <f t="shared" si="20"/>
        <v>StrongLumio LED pásek 12V 4,8W/m (60 LED/m) 8mm, bílá studená</v>
      </c>
      <c r="E392" s="77" t="s">
        <v>650</v>
      </c>
      <c r="F392" s="77" t="s">
        <v>651</v>
      </c>
      <c r="G392" s="77" t="s">
        <v>652</v>
      </c>
      <c r="H392" s="77" t="s">
        <v>653</v>
      </c>
      <c r="I392" s="77" t="s">
        <v>992</v>
      </c>
      <c r="J392" s="90">
        <v>50</v>
      </c>
      <c r="K392" s="91">
        <v>1</v>
      </c>
      <c r="L392" s="77" t="s">
        <v>227</v>
      </c>
      <c r="M392" s="78">
        <v>64.13</v>
      </c>
      <c r="N392" s="79">
        <v>2.6343000000000001</v>
      </c>
      <c r="O392" s="79">
        <v>5.2872500000000002</v>
      </c>
      <c r="P392" s="79">
        <v>660.16178000000002</v>
      </c>
      <c r="Q392" s="77"/>
      <c r="R392" s="77"/>
      <c r="S392" s="77"/>
      <c r="T392" s="77"/>
      <c r="U392" s="77"/>
      <c r="V392" s="87"/>
      <c r="W392" s="87"/>
      <c r="X392" s="87"/>
      <c r="Y392" s="77"/>
      <c r="Z392" s="88"/>
      <c r="AA392" s="35"/>
      <c r="AB392" s="35"/>
    </row>
    <row r="393" spans="1:28" x14ac:dyDescent="0.25">
      <c r="A393" s="68" t="str">
        <f t="shared" si="18"/>
        <v>132251</v>
      </c>
      <c r="B393" s="10">
        <f t="shared" si="19"/>
        <v>70.784999999999997</v>
      </c>
      <c r="C393" s="77" t="s">
        <v>5046</v>
      </c>
      <c r="D393" s="191" t="str">
        <f t="shared" si="20"/>
        <v>StrongLumio LED pásek 12V 4,8W/m (60 LED/m) 8mm, bílá teplá</v>
      </c>
      <c r="E393" s="77" t="s">
        <v>655</v>
      </c>
      <c r="F393" s="77" t="s">
        <v>656</v>
      </c>
      <c r="G393" s="77" t="s">
        <v>657</v>
      </c>
      <c r="H393" s="77" t="s">
        <v>658</v>
      </c>
      <c r="I393" s="77" t="s">
        <v>992</v>
      </c>
      <c r="J393" s="90">
        <v>50</v>
      </c>
      <c r="K393" s="91">
        <v>1</v>
      </c>
      <c r="L393" s="77" t="s">
        <v>227</v>
      </c>
      <c r="M393" s="78">
        <v>70.784999999999997</v>
      </c>
      <c r="N393" s="79">
        <v>2.8319000000000001</v>
      </c>
      <c r="O393" s="79">
        <v>6.0429599999999999</v>
      </c>
      <c r="P393" s="79">
        <v>804.37500999999997</v>
      </c>
      <c r="Q393" s="77"/>
      <c r="R393" s="77"/>
      <c r="S393" s="77"/>
      <c r="T393" s="77"/>
      <c r="U393" s="77"/>
      <c r="V393" s="87"/>
      <c r="W393" s="87"/>
      <c r="X393" s="87"/>
      <c r="Y393" s="77"/>
      <c r="Z393" s="88"/>
      <c r="AA393" s="35"/>
      <c r="AB393" s="35"/>
    </row>
    <row r="394" spans="1:28" x14ac:dyDescent="0.25">
      <c r="A394" s="68" t="str">
        <f t="shared" si="18"/>
        <v>250029</v>
      </c>
      <c r="B394" s="10">
        <f t="shared" si="19"/>
        <v>96.525000000000006</v>
      </c>
      <c r="C394" s="77" t="s">
        <v>5047</v>
      </c>
      <c r="D394" s="191" t="str">
        <f t="shared" si="20"/>
        <v>StrongLumio LED pásek 12V 9,6W/m (120 LED/m) 8mm, bílá neutrální</v>
      </c>
      <c r="E394" s="77" t="s">
        <v>684</v>
      </c>
      <c r="F394" s="77" t="s">
        <v>685</v>
      </c>
      <c r="G394" s="77" t="s">
        <v>686</v>
      </c>
      <c r="H394" s="77" t="s">
        <v>687</v>
      </c>
      <c r="I394" s="77" t="s">
        <v>992</v>
      </c>
      <c r="J394" s="90">
        <v>50</v>
      </c>
      <c r="K394" s="91">
        <v>1</v>
      </c>
      <c r="L394" s="77" t="s">
        <v>276</v>
      </c>
      <c r="M394" s="78">
        <v>96.525000000000006</v>
      </c>
      <c r="N394" s="79">
        <v>3.86172</v>
      </c>
      <c r="O394" s="79">
        <v>7.5762099999999997</v>
      </c>
      <c r="P394" s="79">
        <v>1096.87501</v>
      </c>
      <c r="Q394" s="77"/>
      <c r="R394" s="77"/>
      <c r="S394" s="77"/>
      <c r="T394" s="77"/>
      <c r="U394" s="77"/>
      <c r="V394" s="87"/>
      <c r="W394" s="87"/>
      <c r="X394" s="87"/>
      <c r="Y394" s="77"/>
      <c r="Z394" s="88"/>
      <c r="AA394" s="35"/>
      <c r="AB394" s="35"/>
    </row>
    <row r="395" spans="1:28" x14ac:dyDescent="0.25">
      <c r="A395" s="68" t="str">
        <f t="shared" si="18"/>
        <v>231387</v>
      </c>
      <c r="B395" s="10">
        <f t="shared" si="19"/>
        <v>96.525000000000006</v>
      </c>
      <c r="C395" s="77" t="s">
        <v>5048</v>
      </c>
      <c r="D395" s="191" t="str">
        <f t="shared" si="20"/>
        <v>StrongLumio LED pásek 12V 9,6W/m (120 LED/m) 8mm, bílá studená</v>
      </c>
      <c r="E395" s="77" t="s">
        <v>660</v>
      </c>
      <c r="F395" s="77" t="s">
        <v>661</v>
      </c>
      <c r="G395" s="77" t="s">
        <v>662</v>
      </c>
      <c r="H395" s="77" t="s">
        <v>663</v>
      </c>
      <c r="I395" s="77" t="s">
        <v>992</v>
      </c>
      <c r="J395" s="90">
        <v>50</v>
      </c>
      <c r="K395" s="91">
        <v>1</v>
      </c>
      <c r="L395" s="77" t="s">
        <v>227</v>
      </c>
      <c r="M395" s="78">
        <v>96.525000000000006</v>
      </c>
      <c r="N395" s="79">
        <v>3.86172</v>
      </c>
      <c r="O395" s="79">
        <v>8.9609699999999997</v>
      </c>
      <c r="P395" s="79">
        <v>1096.87501</v>
      </c>
      <c r="Q395" s="77"/>
      <c r="R395" s="77"/>
      <c r="S395" s="77"/>
      <c r="T395" s="77"/>
      <c r="U395" s="77"/>
      <c r="V395" s="87"/>
      <c r="W395" s="87"/>
      <c r="X395" s="87"/>
      <c r="Y395" s="77"/>
      <c r="Z395" s="88"/>
      <c r="AA395" s="35"/>
      <c r="AB395" s="35"/>
    </row>
    <row r="396" spans="1:28" x14ac:dyDescent="0.25">
      <c r="A396" s="68" t="str">
        <f t="shared" si="18"/>
        <v>231392</v>
      </c>
      <c r="B396" s="10">
        <f t="shared" si="19"/>
        <v>96.525000000000006</v>
      </c>
      <c r="C396" s="77" t="s">
        <v>5049</v>
      </c>
      <c r="D396" s="191" t="str">
        <f t="shared" si="20"/>
        <v>StrongLumio LED pásek 12V 9,6W/m (120 LED/m) 8mm, bílá teplá</v>
      </c>
      <c r="E396" s="77" t="s">
        <v>670</v>
      </c>
      <c r="F396" s="77" t="s">
        <v>671</v>
      </c>
      <c r="G396" s="77" t="s">
        <v>672</v>
      </c>
      <c r="H396" s="77" t="s">
        <v>673</v>
      </c>
      <c r="I396" s="77" t="s">
        <v>992</v>
      </c>
      <c r="J396" s="90">
        <v>50</v>
      </c>
      <c r="K396" s="91">
        <v>1</v>
      </c>
      <c r="L396" s="77" t="s">
        <v>227</v>
      </c>
      <c r="M396" s="78">
        <v>96.525000000000006</v>
      </c>
      <c r="N396" s="79">
        <v>3.86172</v>
      </c>
      <c r="O396" s="79">
        <v>8.1659600000000001</v>
      </c>
      <c r="P396" s="79">
        <v>1096.87501</v>
      </c>
      <c r="Q396" s="77"/>
      <c r="R396" s="77"/>
      <c r="S396" s="77"/>
      <c r="T396" s="77"/>
      <c r="U396" s="77"/>
      <c r="V396" s="87"/>
      <c r="W396" s="87"/>
      <c r="X396" s="87"/>
      <c r="Y396" s="77"/>
      <c r="Z396" s="88"/>
      <c r="AA396" s="35"/>
      <c r="AB396" s="35"/>
    </row>
    <row r="397" spans="1:28" x14ac:dyDescent="0.25">
      <c r="A397" s="68" t="str">
        <f t="shared" si="18"/>
        <v>472113</v>
      </c>
      <c r="B397" s="10">
        <f t="shared" si="19"/>
        <v>228.45887999999999</v>
      </c>
      <c r="C397" s="77" t="s">
        <v>5051</v>
      </c>
      <c r="D397" s="191" t="str">
        <f t="shared" si="20"/>
        <v>StrongLumio LED pásek 14,4W/m 24V (60 LED/m) 12mm RGBW, bílá neutrální</v>
      </c>
      <c r="E397" s="77" t="s">
        <v>2025</v>
      </c>
      <c r="F397" s="77" t="s">
        <v>2026</v>
      </c>
      <c r="G397" s="77" t="s">
        <v>6442</v>
      </c>
      <c r="H397" s="77" t="s">
        <v>2027</v>
      </c>
      <c r="I397" s="77" t="s">
        <v>992</v>
      </c>
      <c r="J397" s="90">
        <v>50</v>
      </c>
      <c r="K397" s="91">
        <v>1</v>
      </c>
      <c r="L397" s="77" t="s">
        <v>227</v>
      </c>
      <c r="M397" s="78">
        <v>228.45887999999999</v>
      </c>
      <c r="N397" s="79">
        <v>9.9197299999999995</v>
      </c>
      <c r="O397" s="79">
        <v>32.398800000000001</v>
      </c>
      <c r="P397" s="79">
        <v>3245.15454</v>
      </c>
      <c r="Q397" s="77"/>
      <c r="R397" s="77"/>
      <c r="S397" s="77"/>
      <c r="T397" s="77"/>
      <c r="U397" s="77"/>
      <c r="V397" s="87"/>
      <c r="W397" s="87"/>
      <c r="X397" s="87"/>
      <c r="Y397" s="77"/>
      <c r="Z397" s="88"/>
      <c r="AA397" s="35"/>
      <c r="AB397" s="35"/>
    </row>
    <row r="398" spans="1:28" x14ac:dyDescent="0.25">
      <c r="A398" s="68" t="str">
        <f t="shared" si="18"/>
        <v>472114</v>
      </c>
      <c r="B398" s="10">
        <f t="shared" si="19"/>
        <v>228.45887999999999</v>
      </c>
      <c r="C398" s="77" t="s">
        <v>5052</v>
      </c>
      <c r="D398" s="191" t="str">
        <f t="shared" si="20"/>
        <v>StrongLumio LED pásek 14,4W/m 24V (60 LED/m) 12mm RGBW, bílá studená</v>
      </c>
      <c r="E398" s="77" t="s">
        <v>2028</v>
      </c>
      <c r="F398" s="77" t="s">
        <v>2029</v>
      </c>
      <c r="G398" s="77" t="s">
        <v>6443</v>
      </c>
      <c r="H398" s="77" t="s">
        <v>2030</v>
      </c>
      <c r="I398" s="77" t="s">
        <v>992</v>
      </c>
      <c r="J398" s="90">
        <v>100</v>
      </c>
      <c r="K398" s="91">
        <v>1</v>
      </c>
      <c r="L398" s="77" t="s">
        <v>160</v>
      </c>
      <c r="M398" s="78">
        <v>228.45887999999999</v>
      </c>
      <c r="N398" s="79">
        <v>9.9197299999999995</v>
      </c>
      <c r="O398" s="79">
        <v>34.244340000000001</v>
      </c>
      <c r="P398" s="79">
        <v>3245.15454</v>
      </c>
      <c r="Q398" s="77"/>
      <c r="R398" s="77"/>
      <c r="S398" s="77"/>
      <c r="T398" s="77"/>
      <c r="U398" s="77"/>
      <c r="V398" s="87"/>
      <c r="W398" s="87"/>
      <c r="X398" s="87"/>
      <c r="Y398" s="77"/>
      <c r="Z398" s="88"/>
      <c r="AA398" s="35"/>
      <c r="AB398" s="35"/>
    </row>
    <row r="399" spans="1:28" x14ac:dyDescent="0.25">
      <c r="A399" s="68" t="str">
        <f t="shared" si="18"/>
        <v>284561</v>
      </c>
      <c r="B399" s="10">
        <f t="shared" si="19"/>
        <v>137.709</v>
      </c>
      <c r="C399" s="77" t="s">
        <v>5053</v>
      </c>
      <c r="D399" s="191" t="str">
        <f t="shared" si="20"/>
        <v>StrongLumio LED pásek 24V 12W/m (120 LED/m) 8mm, bílá neutrální</v>
      </c>
      <c r="E399" s="77" t="s">
        <v>714</v>
      </c>
      <c r="F399" s="77" t="s">
        <v>715</v>
      </c>
      <c r="G399" s="77" t="s">
        <v>716</v>
      </c>
      <c r="H399" s="77" t="s">
        <v>717</v>
      </c>
      <c r="I399" s="77" t="s">
        <v>992</v>
      </c>
      <c r="J399" s="90">
        <v>50</v>
      </c>
      <c r="K399" s="91">
        <v>1</v>
      </c>
      <c r="L399" s="77" t="s">
        <v>227</v>
      </c>
      <c r="M399" s="78">
        <v>137.709</v>
      </c>
      <c r="N399" s="79">
        <v>5.5245600000000001</v>
      </c>
      <c r="O399" s="79">
        <v>12.78575</v>
      </c>
      <c r="P399" s="79">
        <v>1788.4285600000001</v>
      </c>
      <c r="Q399" s="77"/>
      <c r="R399" s="77"/>
      <c r="S399" s="77"/>
      <c r="T399" s="77"/>
      <c r="U399" s="77"/>
      <c r="V399" s="87"/>
      <c r="W399" s="87"/>
      <c r="X399" s="87"/>
      <c r="Y399" s="77"/>
      <c r="Z399" s="88"/>
      <c r="AA399" s="35"/>
      <c r="AB399" s="35"/>
    </row>
    <row r="400" spans="1:28" x14ac:dyDescent="0.25">
      <c r="A400" s="68" t="str">
        <f t="shared" si="18"/>
        <v>284562</v>
      </c>
      <c r="B400" s="10">
        <f t="shared" si="19"/>
        <v>137.709</v>
      </c>
      <c r="C400" s="77" t="s">
        <v>5054</v>
      </c>
      <c r="D400" s="191" t="str">
        <f t="shared" si="20"/>
        <v>StrongLumio LED pásek 24V 12W/m (120 LED/m) 8mm, bílá studená</v>
      </c>
      <c r="E400" s="77" t="s">
        <v>719</v>
      </c>
      <c r="F400" s="77" t="s">
        <v>720</v>
      </c>
      <c r="G400" s="77" t="s">
        <v>721</v>
      </c>
      <c r="H400" s="77" t="s">
        <v>722</v>
      </c>
      <c r="I400" s="77" t="s">
        <v>992</v>
      </c>
      <c r="J400" s="90">
        <v>50</v>
      </c>
      <c r="K400" s="91">
        <v>1</v>
      </c>
      <c r="L400" s="77" t="s">
        <v>227</v>
      </c>
      <c r="M400" s="78">
        <v>137.709</v>
      </c>
      <c r="N400" s="79">
        <v>5.5245600000000001</v>
      </c>
      <c r="O400" s="79">
        <v>14.06213</v>
      </c>
      <c r="P400" s="79">
        <v>1788.4285600000001</v>
      </c>
      <c r="Q400" s="77"/>
      <c r="R400" s="77"/>
      <c r="S400" s="77"/>
      <c r="T400" s="77"/>
      <c r="U400" s="77"/>
      <c r="V400" s="87"/>
      <c r="W400" s="87"/>
      <c r="X400" s="87"/>
      <c r="Y400" s="77"/>
      <c r="Z400" s="88"/>
      <c r="AA400" s="35"/>
      <c r="AB400" s="35"/>
    </row>
    <row r="401" spans="1:28" x14ac:dyDescent="0.25">
      <c r="A401" s="68" t="str">
        <f t="shared" si="18"/>
        <v>284560</v>
      </c>
      <c r="B401" s="10">
        <f t="shared" si="19"/>
        <v>137.709</v>
      </c>
      <c r="C401" s="77" t="s">
        <v>5055</v>
      </c>
      <c r="D401" s="191" t="str">
        <f t="shared" si="20"/>
        <v>StrongLumio LED pásek 24V 12W/m (120 LED/m) 8mm, bílá teplá</v>
      </c>
      <c r="E401" s="77" t="s">
        <v>709</v>
      </c>
      <c r="F401" s="77" t="s">
        <v>710</v>
      </c>
      <c r="G401" s="77" t="s">
        <v>711</v>
      </c>
      <c r="H401" s="77" t="s">
        <v>712</v>
      </c>
      <c r="I401" s="77" t="s">
        <v>992</v>
      </c>
      <c r="J401" s="90">
        <v>50</v>
      </c>
      <c r="K401" s="91">
        <v>1</v>
      </c>
      <c r="L401" s="77" t="s">
        <v>227</v>
      </c>
      <c r="M401" s="78">
        <v>137.709</v>
      </c>
      <c r="N401" s="79">
        <v>5.5245600000000001</v>
      </c>
      <c r="O401" s="79">
        <v>12.90485</v>
      </c>
      <c r="P401" s="79">
        <v>1788.4285600000001</v>
      </c>
      <c r="Q401" s="77"/>
      <c r="R401" s="77"/>
      <c r="S401" s="77"/>
      <c r="T401" s="77"/>
      <c r="U401" s="77"/>
      <c r="V401" s="87"/>
      <c r="W401" s="87"/>
      <c r="X401" s="87"/>
      <c r="Y401" s="77"/>
      <c r="Z401" s="88"/>
      <c r="AA401" s="35"/>
      <c r="AB401" s="35"/>
    </row>
    <row r="402" spans="1:28" x14ac:dyDescent="0.25">
      <c r="A402" s="68" t="str">
        <f t="shared" si="18"/>
        <v>406139</v>
      </c>
      <c r="B402" s="10">
        <f t="shared" si="19"/>
        <v>214.30655999999999</v>
      </c>
      <c r="C402" s="77" t="s">
        <v>5056</v>
      </c>
      <c r="D402" s="191" t="str">
        <f t="shared" si="20"/>
        <v>StrongLumio LED pásek 24V 14,4W/m (120 LED/m) 10mm IP20, RGB</v>
      </c>
      <c r="E402" s="77" t="s">
        <v>2031</v>
      </c>
      <c r="F402" s="77" t="s">
        <v>2032</v>
      </c>
      <c r="G402" s="77" t="s">
        <v>2034</v>
      </c>
      <c r="H402" s="77" t="s">
        <v>2033</v>
      </c>
      <c r="I402" s="77" t="s">
        <v>992</v>
      </c>
      <c r="J402" s="90">
        <v>50</v>
      </c>
      <c r="K402" s="91">
        <v>1</v>
      </c>
      <c r="L402" s="77" t="s">
        <v>160</v>
      </c>
      <c r="M402" s="78">
        <v>214.30655999999999</v>
      </c>
      <c r="N402" s="79">
        <v>9.3052399999999995</v>
      </c>
      <c r="O402" s="79">
        <v>29.325510000000001</v>
      </c>
      <c r="P402" s="79">
        <v>3044.1272800000002</v>
      </c>
      <c r="Q402" s="77"/>
      <c r="R402" s="77"/>
      <c r="S402" s="77"/>
      <c r="T402" s="77"/>
      <c r="U402" s="77"/>
      <c r="V402" s="87"/>
      <c r="W402" s="87"/>
      <c r="X402" s="87"/>
      <c r="Y402" s="77"/>
      <c r="Z402" s="88"/>
      <c r="AA402" s="35"/>
      <c r="AB402" s="35"/>
    </row>
    <row r="403" spans="1:28" x14ac:dyDescent="0.25">
      <c r="A403" s="68" t="str">
        <f t="shared" si="18"/>
        <v>406140</v>
      </c>
      <c r="B403" s="10">
        <f t="shared" si="19"/>
        <v>254.74176</v>
      </c>
      <c r="C403" s="77" t="s">
        <v>5057</v>
      </c>
      <c r="D403" s="191" t="str">
        <f t="shared" si="20"/>
        <v>StrongLumio LED pásek 24V 14,4W/m (120 LED/m) 10mm IP54, RGB</v>
      </c>
      <c r="E403" s="77" t="s">
        <v>2035</v>
      </c>
      <c r="F403" s="77" t="s">
        <v>2036</v>
      </c>
      <c r="G403" s="77" t="s">
        <v>2038</v>
      </c>
      <c r="H403" s="77" t="s">
        <v>2037</v>
      </c>
      <c r="I403" s="77" t="s">
        <v>992</v>
      </c>
      <c r="J403" s="90">
        <v>5</v>
      </c>
      <c r="K403" s="91">
        <v>1</v>
      </c>
      <c r="L403" s="77" t="s">
        <v>160</v>
      </c>
      <c r="M403" s="78">
        <v>254.74176</v>
      </c>
      <c r="N403" s="79">
        <v>11.06095</v>
      </c>
      <c r="O403" s="79">
        <v>36.68403</v>
      </c>
      <c r="P403" s="79">
        <v>3618.4909299999999</v>
      </c>
      <c r="Q403" s="77"/>
      <c r="R403" s="77"/>
      <c r="S403" s="77"/>
      <c r="T403" s="77"/>
      <c r="U403" s="77"/>
      <c r="V403" s="87"/>
      <c r="W403" s="87"/>
      <c r="X403" s="87"/>
      <c r="Y403" s="77"/>
      <c r="Z403" s="88"/>
      <c r="AA403" s="35"/>
      <c r="AB403" s="35"/>
    </row>
    <row r="404" spans="1:28" x14ac:dyDescent="0.25">
      <c r="A404" s="68" t="str">
        <f t="shared" si="18"/>
        <v>355850</v>
      </c>
      <c r="B404" s="10">
        <f t="shared" si="19"/>
        <v>217.36447000000001</v>
      </c>
      <c r="C404" s="77" t="s">
        <v>5058</v>
      </c>
      <c r="D404" s="191" t="str">
        <f t="shared" si="20"/>
        <v>StrongLumio LED pásek 24V 14,4W/m (120 LED/m) 8mm CRI90, bílá neutrální</v>
      </c>
      <c r="E404" s="77" t="s">
        <v>2039</v>
      </c>
      <c r="F404" s="77" t="s">
        <v>2040</v>
      </c>
      <c r="G404" s="77" t="s">
        <v>2042</v>
      </c>
      <c r="H404" s="77" t="s">
        <v>2041</v>
      </c>
      <c r="I404" s="77" t="s">
        <v>992</v>
      </c>
      <c r="J404" s="90">
        <v>50</v>
      </c>
      <c r="K404" s="91">
        <v>1</v>
      </c>
      <c r="L404" s="77" t="s">
        <v>160</v>
      </c>
      <c r="M404" s="78">
        <v>217.36447000000001</v>
      </c>
      <c r="N404" s="79">
        <v>8.8561499999999995</v>
      </c>
      <c r="O404" s="79">
        <v>21.938829999999999</v>
      </c>
      <c r="P404" s="79">
        <v>2852.94625</v>
      </c>
      <c r="Q404" s="77"/>
      <c r="R404" s="77"/>
      <c r="S404" s="77"/>
      <c r="T404" s="77"/>
      <c r="U404" s="77"/>
      <c r="V404" s="87"/>
      <c r="W404" s="87"/>
      <c r="X404" s="87"/>
      <c r="Y404" s="77"/>
      <c r="Z404" s="88"/>
      <c r="AA404" s="35"/>
      <c r="AB404" s="35"/>
    </row>
    <row r="405" spans="1:28" x14ac:dyDescent="0.25">
      <c r="A405" s="68" t="str">
        <f t="shared" si="18"/>
        <v>355851</v>
      </c>
      <c r="B405" s="10">
        <f t="shared" si="19"/>
        <v>217.36447000000001</v>
      </c>
      <c r="C405" s="77" t="s">
        <v>5059</v>
      </c>
      <c r="D405" s="191" t="str">
        <f t="shared" si="20"/>
        <v>StrongLumio LED pásek 24V 14,4W/m (120 LED/m) 8mm CRI90, bílá studená</v>
      </c>
      <c r="E405" s="77" t="s">
        <v>2043</v>
      </c>
      <c r="F405" s="77" t="s">
        <v>2044</v>
      </c>
      <c r="G405" s="77" t="s">
        <v>2046</v>
      </c>
      <c r="H405" s="77" t="s">
        <v>2045</v>
      </c>
      <c r="I405" s="77" t="s">
        <v>992</v>
      </c>
      <c r="J405" s="90">
        <v>50</v>
      </c>
      <c r="K405" s="91">
        <v>1</v>
      </c>
      <c r="L405" s="77" t="s">
        <v>160</v>
      </c>
      <c r="M405" s="78">
        <v>217.36447000000001</v>
      </c>
      <c r="N405" s="79">
        <v>8.8561499999999995</v>
      </c>
      <c r="O405" s="79">
        <v>24.73442</v>
      </c>
      <c r="P405" s="79">
        <v>2852.94625</v>
      </c>
      <c r="Q405" s="77"/>
      <c r="R405" s="77"/>
      <c r="S405" s="77"/>
      <c r="T405" s="77"/>
      <c r="U405" s="77"/>
      <c r="V405" s="87"/>
      <c r="W405" s="87"/>
      <c r="X405" s="87"/>
      <c r="Y405" s="77"/>
      <c r="Z405" s="88"/>
      <c r="AA405" s="35"/>
      <c r="AB405" s="35"/>
    </row>
    <row r="406" spans="1:28" x14ac:dyDescent="0.25">
      <c r="A406" s="68" t="str">
        <f t="shared" si="18"/>
        <v>355849</v>
      </c>
      <c r="B406" s="10">
        <f t="shared" si="19"/>
        <v>217.36447000000001</v>
      </c>
      <c r="C406" s="77" t="s">
        <v>5060</v>
      </c>
      <c r="D406" s="191" t="str">
        <f t="shared" si="20"/>
        <v>StrongLumio LED pásek 24V 14,4W/m (120 LED/m) 8mm CRI90, bílá teplá</v>
      </c>
      <c r="E406" s="77" t="s">
        <v>2047</v>
      </c>
      <c r="F406" s="77" t="s">
        <v>2048</v>
      </c>
      <c r="G406" s="77" t="s">
        <v>2050</v>
      </c>
      <c r="H406" s="77" t="s">
        <v>2049</v>
      </c>
      <c r="I406" s="77" t="s">
        <v>992</v>
      </c>
      <c r="J406" s="90">
        <v>50</v>
      </c>
      <c r="K406" s="91">
        <v>1</v>
      </c>
      <c r="L406" s="77" t="s">
        <v>160</v>
      </c>
      <c r="M406" s="78">
        <v>217.36447000000001</v>
      </c>
      <c r="N406" s="79">
        <v>8.8561499999999995</v>
      </c>
      <c r="O406" s="79">
        <v>24.219519999999999</v>
      </c>
      <c r="P406" s="79">
        <v>2852.94625</v>
      </c>
      <c r="Q406" s="77"/>
      <c r="R406" s="77"/>
      <c r="S406" s="77"/>
      <c r="T406" s="77"/>
      <c r="U406" s="77"/>
      <c r="V406" s="87"/>
      <c r="W406" s="87"/>
      <c r="X406" s="87"/>
      <c r="Y406" s="77"/>
      <c r="Z406" s="88"/>
      <c r="AA406" s="35"/>
      <c r="AB406" s="35"/>
    </row>
    <row r="407" spans="1:28" x14ac:dyDescent="0.25">
      <c r="A407" s="68" t="str">
        <f t="shared" si="18"/>
        <v>405176</v>
      </c>
      <c r="B407" s="10">
        <f t="shared" si="19"/>
        <v>146.57759999999999</v>
      </c>
      <c r="C407" s="77" t="s">
        <v>5061</v>
      </c>
      <c r="D407" s="191" t="str">
        <f t="shared" si="20"/>
        <v>StrongLumio LED pásek 24V 14,4W/m (60 LED/m) 10mm CCT</v>
      </c>
      <c r="E407" s="77" t="s">
        <v>2051</v>
      </c>
      <c r="F407" s="77" t="s">
        <v>2052</v>
      </c>
      <c r="G407" s="77" t="s">
        <v>2054</v>
      </c>
      <c r="H407" s="77" t="s">
        <v>2053</v>
      </c>
      <c r="I407" s="77" t="s">
        <v>992</v>
      </c>
      <c r="J407" s="90">
        <v>50</v>
      </c>
      <c r="K407" s="91">
        <v>1</v>
      </c>
      <c r="L407" s="77" t="s">
        <v>227</v>
      </c>
      <c r="M407" s="78">
        <v>146.57759999999999</v>
      </c>
      <c r="N407" s="79">
        <v>6.5466199999999999</v>
      </c>
      <c r="O407" s="79">
        <v>23.285820000000001</v>
      </c>
      <c r="P407" s="79">
        <v>2082.06817</v>
      </c>
      <c r="Q407" s="77"/>
      <c r="R407" s="77"/>
      <c r="S407" s="77"/>
      <c r="T407" s="77"/>
      <c r="U407" s="77"/>
      <c r="V407" s="87"/>
      <c r="W407" s="87"/>
      <c r="X407" s="87"/>
      <c r="Y407" s="77"/>
      <c r="Z407" s="88"/>
      <c r="AA407" s="35"/>
      <c r="AB407" s="35"/>
    </row>
    <row r="408" spans="1:28" x14ac:dyDescent="0.25">
      <c r="A408" s="68" t="str">
        <f t="shared" si="18"/>
        <v>284602</v>
      </c>
      <c r="B408" s="10">
        <f t="shared" si="19"/>
        <v>146.57759999999999</v>
      </c>
      <c r="C408" s="77" t="s">
        <v>5062</v>
      </c>
      <c r="D408" s="191" t="str">
        <f t="shared" si="20"/>
        <v>StrongLumio LED pásek 24V 14,4W/m (60 LED/m) 10mm IP20 RGB</v>
      </c>
      <c r="E408" s="77" t="s">
        <v>2055</v>
      </c>
      <c r="F408" s="77" t="s">
        <v>2056</v>
      </c>
      <c r="G408" s="77" t="s">
        <v>2058</v>
      </c>
      <c r="H408" s="77" t="s">
        <v>2057</v>
      </c>
      <c r="I408" s="77" t="s">
        <v>992</v>
      </c>
      <c r="J408" s="90">
        <v>25</v>
      </c>
      <c r="K408" s="91">
        <v>1</v>
      </c>
      <c r="L408" s="77" t="s">
        <v>227</v>
      </c>
      <c r="M408" s="78">
        <v>146.57759999999999</v>
      </c>
      <c r="N408" s="79">
        <v>6.3644100000000003</v>
      </c>
      <c r="O408" s="79">
        <v>19.973130000000001</v>
      </c>
      <c r="P408" s="79">
        <v>2082.06817</v>
      </c>
      <c r="Q408" s="77"/>
      <c r="R408" s="77"/>
      <c r="S408" s="77"/>
      <c r="T408" s="77"/>
      <c r="U408" s="77"/>
      <c r="V408" s="87"/>
      <c r="W408" s="87"/>
      <c r="X408" s="87"/>
      <c r="Y408" s="77"/>
      <c r="Z408" s="88"/>
      <c r="AA408" s="35"/>
      <c r="AB408" s="35"/>
    </row>
    <row r="409" spans="1:28" x14ac:dyDescent="0.25">
      <c r="A409" s="68" t="str">
        <f t="shared" si="18"/>
        <v>284569</v>
      </c>
      <c r="B409" s="10">
        <f t="shared" si="19"/>
        <v>202.17599999999999</v>
      </c>
      <c r="C409" s="77" t="s">
        <v>5063</v>
      </c>
      <c r="D409" s="191" t="str">
        <f t="shared" si="20"/>
        <v>StrongLumio LED pásek 24V 14,4W/m (60 LED/m) 10mm IP65 RGB</v>
      </c>
      <c r="E409" s="77" t="s">
        <v>2059</v>
      </c>
      <c r="F409" s="77" t="s">
        <v>2060</v>
      </c>
      <c r="G409" s="77" t="s">
        <v>2062</v>
      </c>
      <c r="H409" s="77" t="s">
        <v>2061</v>
      </c>
      <c r="I409" s="77" t="s">
        <v>992</v>
      </c>
      <c r="J409" s="90">
        <v>5</v>
      </c>
      <c r="K409" s="91">
        <v>1</v>
      </c>
      <c r="L409" s="77" t="s">
        <v>160</v>
      </c>
      <c r="M409" s="78">
        <v>202.17599999999999</v>
      </c>
      <c r="N409" s="79">
        <v>8.7785100000000007</v>
      </c>
      <c r="O409" s="79">
        <v>27.093630000000001</v>
      </c>
      <c r="P409" s="79">
        <v>2871.8181800000002</v>
      </c>
      <c r="Q409" s="77"/>
      <c r="R409" s="77"/>
      <c r="S409" s="77"/>
      <c r="T409" s="77"/>
      <c r="U409" s="77"/>
      <c r="V409" s="87"/>
      <c r="W409" s="87"/>
      <c r="X409" s="87"/>
      <c r="Y409" s="77"/>
      <c r="Z409" s="88"/>
      <c r="AA409" s="35"/>
      <c r="AB409" s="35"/>
    </row>
    <row r="410" spans="1:28" x14ac:dyDescent="0.25">
      <c r="A410" s="68" t="str">
        <f t="shared" si="18"/>
        <v>284567</v>
      </c>
      <c r="B410" s="10">
        <f t="shared" si="19"/>
        <v>162.74700000000001</v>
      </c>
      <c r="C410" s="77" t="s">
        <v>5064</v>
      </c>
      <c r="D410" s="191" t="str">
        <f t="shared" si="20"/>
        <v>StrongLumio LED pásek 24V 14,4W/m (60 LED/m) 10mm, bílá neutrální</v>
      </c>
      <c r="E410" s="77" t="s">
        <v>2063</v>
      </c>
      <c r="F410" s="77" t="s">
        <v>2064</v>
      </c>
      <c r="G410" s="77" t="s">
        <v>2066</v>
      </c>
      <c r="H410" s="77" t="s">
        <v>2065</v>
      </c>
      <c r="I410" s="77" t="s">
        <v>992</v>
      </c>
      <c r="J410" s="90">
        <v>50</v>
      </c>
      <c r="K410" s="91">
        <v>1</v>
      </c>
      <c r="L410" s="77" t="s">
        <v>160</v>
      </c>
      <c r="M410" s="78">
        <v>162.74700000000001</v>
      </c>
      <c r="N410" s="79">
        <v>6.5290499999999998</v>
      </c>
      <c r="O410" s="79">
        <v>14.90315</v>
      </c>
      <c r="P410" s="79">
        <v>2113.5974000000001</v>
      </c>
      <c r="Q410" s="77"/>
      <c r="R410" s="77"/>
      <c r="S410" s="77"/>
      <c r="T410" s="77"/>
      <c r="U410" s="77"/>
      <c r="V410" s="87"/>
      <c r="W410" s="87"/>
      <c r="X410" s="87"/>
      <c r="Y410" s="77"/>
      <c r="Z410" s="88"/>
      <c r="AA410" s="35"/>
      <c r="AB410" s="35"/>
    </row>
    <row r="411" spans="1:28" x14ac:dyDescent="0.25">
      <c r="A411" s="68" t="str">
        <f t="shared" si="18"/>
        <v>284568</v>
      </c>
      <c r="B411" s="10">
        <f t="shared" si="19"/>
        <v>162.74700000000001</v>
      </c>
      <c r="C411" s="77" t="s">
        <v>5065</v>
      </c>
      <c r="D411" s="191" t="str">
        <f t="shared" si="20"/>
        <v>StrongLumio LED pásek 24V 14,4W/m (60 LED/m) 10mm, bílá studená</v>
      </c>
      <c r="E411" s="77" t="s">
        <v>2067</v>
      </c>
      <c r="F411" s="77" t="s">
        <v>2068</v>
      </c>
      <c r="G411" s="77" t="s">
        <v>2070</v>
      </c>
      <c r="H411" s="77" t="s">
        <v>2069</v>
      </c>
      <c r="I411" s="77" t="s">
        <v>992</v>
      </c>
      <c r="J411" s="90">
        <v>50</v>
      </c>
      <c r="K411" s="91">
        <v>1</v>
      </c>
      <c r="L411" s="77" t="s">
        <v>160</v>
      </c>
      <c r="M411" s="78">
        <v>162.74700000000001</v>
      </c>
      <c r="N411" s="79">
        <v>6.5290499999999998</v>
      </c>
      <c r="O411" s="79">
        <v>16.672129999999999</v>
      </c>
      <c r="P411" s="79">
        <v>2113.5974000000001</v>
      </c>
      <c r="Q411" s="77"/>
      <c r="R411" s="77"/>
      <c r="S411" s="77"/>
      <c r="T411" s="77"/>
      <c r="U411" s="77"/>
      <c r="V411" s="87"/>
      <c r="W411" s="87"/>
      <c r="X411" s="87"/>
      <c r="Y411" s="77"/>
      <c r="Z411" s="88"/>
      <c r="AA411" s="35"/>
      <c r="AB411" s="35"/>
    </row>
    <row r="412" spans="1:28" x14ac:dyDescent="0.25">
      <c r="A412" s="68" t="str">
        <f t="shared" si="18"/>
        <v>284566</v>
      </c>
      <c r="B412" s="10">
        <f t="shared" si="19"/>
        <v>162.74700000000001</v>
      </c>
      <c r="C412" s="77" t="s">
        <v>5066</v>
      </c>
      <c r="D412" s="191" t="str">
        <f t="shared" si="20"/>
        <v>StrongLumio LED pásek 24V 14,4W/m (60 LED/m) 10mm, bílá teplá</v>
      </c>
      <c r="E412" s="77" t="s">
        <v>2071</v>
      </c>
      <c r="F412" s="77" t="s">
        <v>2072</v>
      </c>
      <c r="G412" s="77" t="s">
        <v>2074</v>
      </c>
      <c r="H412" s="77" t="s">
        <v>2073</v>
      </c>
      <c r="I412" s="77" t="s">
        <v>992</v>
      </c>
      <c r="J412" s="90">
        <v>50</v>
      </c>
      <c r="K412" s="91">
        <v>1</v>
      </c>
      <c r="L412" s="77" t="s">
        <v>160</v>
      </c>
      <c r="M412" s="78">
        <v>162.74700000000001</v>
      </c>
      <c r="N412" s="79">
        <v>6.5290499999999998</v>
      </c>
      <c r="O412" s="79">
        <v>16.574100000000001</v>
      </c>
      <c r="P412" s="79">
        <v>2113.5974000000001</v>
      </c>
      <c r="Q412" s="77"/>
      <c r="R412" s="77"/>
      <c r="S412" s="77"/>
      <c r="T412" s="77"/>
      <c r="U412" s="77"/>
      <c r="V412" s="87"/>
      <c r="W412" s="87"/>
      <c r="X412" s="87"/>
      <c r="Y412" s="77"/>
      <c r="Z412" s="88"/>
      <c r="AA412" s="35"/>
      <c r="AB412" s="35"/>
    </row>
    <row r="413" spans="1:28" x14ac:dyDescent="0.25">
      <c r="A413" s="68" t="str">
        <f t="shared" si="18"/>
        <v>472112</v>
      </c>
      <c r="B413" s="10">
        <f t="shared" si="19"/>
        <v>353.80799999999999</v>
      </c>
      <c r="C413" s="77" t="s">
        <v>5067</v>
      </c>
      <c r="D413" s="191" t="str">
        <f t="shared" si="20"/>
        <v>StrongLumio LED pásek 24V 14,4W/m (60 LED/m) 12mm RGBCCT</v>
      </c>
      <c r="E413" s="77" t="s">
        <v>2075</v>
      </c>
      <c r="F413" s="77" t="s">
        <v>2076</v>
      </c>
      <c r="G413" s="77" t="s">
        <v>6444</v>
      </c>
      <c r="H413" s="77" t="s">
        <v>2077</v>
      </c>
      <c r="I413" s="77" t="s">
        <v>992</v>
      </c>
      <c r="J413" s="90">
        <v>50</v>
      </c>
      <c r="K413" s="91">
        <v>1</v>
      </c>
      <c r="L413" s="77" t="s">
        <v>227</v>
      </c>
      <c r="M413" s="78">
        <v>353.80799999999999</v>
      </c>
      <c r="N413" s="79">
        <v>15.362410000000001</v>
      </c>
      <c r="O413" s="79">
        <v>53.048070000000003</v>
      </c>
      <c r="P413" s="79">
        <v>5025.6818199999998</v>
      </c>
      <c r="Q413" s="77"/>
      <c r="R413" s="77"/>
      <c r="S413" s="77"/>
      <c r="T413" s="77"/>
      <c r="U413" s="77"/>
      <c r="V413" s="87"/>
      <c r="W413" s="87"/>
      <c r="X413" s="87"/>
      <c r="Y413" s="77"/>
      <c r="Z413" s="88"/>
      <c r="AA413" s="35"/>
      <c r="AB413" s="35"/>
    </row>
    <row r="414" spans="1:28" x14ac:dyDescent="0.25">
      <c r="A414" s="68" t="str">
        <f t="shared" ref="A414:A477" si="21">C414</f>
        <v>393024</v>
      </c>
      <c r="B414" s="10">
        <f t="shared" si="19"/>
        <v>228.45887999999999</v>
      </c>
      <c r="C414" s="77" t="s">
        <v>5068</v>
      </c>
      <c r="D414" s="191" t="str">
        <f t="shared" si="20"/>
        <v>StrongLumio LED pásek 24V 14,4W/m (60 LED/m) 12mm RGBW, bílá teplá</v>
      </c>
      <c r="E414" s="77" t="s">
        <v>2078</v>
      </c>
      <c r="F414" s="77" t="s">
        <v>2079</v>
      </c>
      <c r="G414" s="77" t="s">
        <v>2081</v>
      </c>
      <c r="H414" s="77" t="s">
        <v>2080</v>
      </c>
      <c r="I414" s="77" t="s">
        <v>992</v>
      </c>
      <c r="J414" s="90">
        <v>50</v>
      </c>
      <c r="K414" s="91">
        <v>1</v>
      </c>
      <c r="L414" s="77" t="s">
        <v>160</v>
      </c>
      <c r="M414" s="78">
        <v>228.45887999999999</v>
      </c>
      <c r="N414" s="79">
        <v>9.9197299999999995</v>
      </c>
      <c r="O414" s="79">
        <v>30.712530000000001</v>
      </c>
      <c r="P414" s="79">
        <v>3245.15454</v>
      </c>
      <c r="Q414" s="77"/>
      <c r="R414" s="77"/>
      <c r="S414" s="77"/>
      <c r="T414" s="77"/>
      <c r="U414" s="77"/>
      <c r="V414" s="87"/>
      <c r="W414" s="87"/>
      <c r="X414" s="87"/>
      <c r="Y414" s="77"/>
      <c r="Z414" s="88"/>
      <c r="AA414" s="35"/>
      <c r="AB414" s="35"/>
    </row>
    <row r="415" spans="1:28" x14ac:dyDescent="0.25">
      <c r="A415" s="68" t="str">
        <f t="shared" si="21"/>
        <v>355854</v>
      </c>
      <c r="B415" s="10">
        <f t="shared" si="19"/>
        <v>262.57132999999999</v>
      </c>
      <c r="C415" s="77" t="s">
        <v>5069</v>
      </c>
      <c r="D415" s="191" t="str">
        <f t="shared" si="20"/>
        <v>StrongLumio LED pásek 24V 21,6W/m (210 LED/m) 10mm CRI90, bílá neutrální</v>
      </c>
      <c r="E415" s="77" t="s">
        <v>2082</v>
      </c>
      <c r="F415" s="77" t="s">
        <v>2083</v>
      </c>
      <c r="G415" s="77" t="s">
        <v>2085</v>
      </c>
      <c r="H415" s="77" t="s">
        <v>2084</v>
      </c>
      <c r="I415" s="77" t="s">
        <v>992</v>
      </c>
      <c r="J415" s="90">
        <v>50</v>
      </c>
      <c r="K415" s="91">
        <v>1</v>
      </c>
      <c r="L415" s="77" t="s">
        <v>227</v>
      </c>
      <c r="M415" s="78">
        <v>262.57132999999999</v>
      </c>
      <c r="N415" s="79">
        <v>10.98418</v>
      </c>
      <c r="O415" s="79">
        <v>27.970770000000002</v>
      </c>
      <c r="P415" s="79">
        <v>3337.92</v>
      </c>
      <c r="Q415" s="77"/>
      <c r="R415" s="77"/>
      <c r="S415" s="77"/>
      <c r="T415" s="77"/>
      <c r="U415" s="77"/>
      <c r="V415" s="87"/>
      <c r="W415" s="87"/>
      <c r="X415" s="87"/>
      <c r="Y415" s="77"/>
      <c r="Z415" s="88"/>
      <c r="AA415" s="35"/>
      <c r="AB415" s="35"/>
    </row>
    <row r="416" spans="1:28" x14ac:dyDescent="0.25">
      <c r="A416" s="68" t="str">
        <f t="shared" si="21"/>
        <v>355855</v>
      </c>
      <c r="B416" s="10">
        <f t="shared" ref="B416:B479" si="22">IF($B$1=1,M416,IF($B$1=2,N416,IF($B$1=3,O416,IF($B$1=4,P416))))</f>
        <v>74.224800000000002</v>
      </c>
      <c r="C416" s="77" t="s">
        <v>5070</v>
      </c>
      <c r="D416" s="191" t="str">
        <f t="shared" si="20"/>
        <v>StrongLumio LED pásek 24V 21,6W/m (210 LED/m) 10mm CRI90, bílá studená</v>
      </c>
      <c r="E416" s="77" t="s">
        <v>2086</v>
      </c>
      <c r="F416" s="77" t="s">
        <v>2087</v>
      </c>
      <c r="G416" s="77" t="s">
        <v>2089</v>
      </c>
      <c r="H416" s="77" t="s">
        <v>2088</v>
      </c>
      <c r="I416" s="77" t="s">
        <v>992</v>
      </c>
      <c r="J416" s="90">
        <v>5</v>
      </c>
      <c r="K416" s="91">
        <v>1</v>
      </c>
      <c r="L416" s="77" t="s">
        <v>160</v>
      </c>
      <c r="M416" s="78">
        <v>74.224800000000002</v>
      </c>
      <c r="N416" s="79">
        <v>3.3319399999999999</v>
      </c>
      <c r="O416" s="79">
        <v>36.059959999999997</v>
      </c>
      <c r="P416" s="79">
        <v>1204.9480599999999</v>
      </c>
      <c r="Q416" s="77"/>
      <c r="R416" s="77"/>
      <c r="S416" s="77"/>
      <c r="T416" s="77"/>
      <c r="U416" s="77"/>
      <c r="V416" s="87"/>
      <c r="W416" s="87"/>
      <c r="X416" s="87"/>
      <c r="Y416" s="77"/>
      <c r="Z416" s="88"/>
      <c r="AA416" s="35"/>
      <c r="AB416" s="35"/>
    </row>
    <row r="417" spans="1:28" x14ac:dyDescent="0.25">
      <c r="A417" s="68" t="str">
        <f t="shared" si="21"/>
        <v>405360</v>
      </c>
      <c r="B417" s="10">
        <f t="shared" si="22"/>
        <v>325.49400000000003</v>
      </c>
      <c r="C417" s="77" t="s">
        <v>5072</v>
      </c>
      <c r="D417" s="191" t="str">
        <f t="shared" si="20"/>
        <v>StrongLumio LED pásek 24V 26W/m (304 LED/m) 10mm, bílá neutrální</v>
      </c>
      <c r="E417" s="77" t="s">
        <v>2090</v>
      </c>
      <c r="F417" s="77" t="s">
        <v>2091</v>
      </c>
      <c r="G417" s="77" t="s">
        <v>2093</v>
      </c>
      <c r="H417" s="77" t="s">
        <v>2092</v>
      </c>
      <c r="I417" s="77" t="s">
        <v>992</v>
      </c>
      <c r="J417" s="90">
        <v>50</v>
      </c>
      <c r="K417" s="91">
        <v>1</v>
      </c>
      <c r="L417" s="77" t="s">
        <v>160</v>
      </c>
      <c r="M417" s="78">
        <v>325.49400000000003</v>
      </c>
      <c r="N417" s="79">
        <v>13.058059999999999</v>
      </c>
      <c r="O417" s="79">
        <v>34.274279999999997</v>
      </c>
      <c r="P417" s="79">
        <v>4227.1948000000002</v>
      </c>
      <c r="Q417" s="77"/>
      <c r="R417" s="77"/>
      <c r="S417" s="77"/>
      <c r="T417" s="77"/>
      <c r="U417" s="77"/>
      <c r="V417" s="87"/>
      <c r="W417" s="87"/>
      <c r="X417" s="87"/>
      <c r="Y417" s="77"/>
      <c r="Z417" s="88"/>
      <c r="AA417" s="35"/>
      <c r="AB417" s="35"/>
    </row>
    <row r="418" spans="1:28" x14ac:dyDescent="0.25">
      <c r="A418" s="68" t="str">
        <f t="shared" si="21"/>
        <v>405361</v>
      </c>
      <c r="B418" s="10">
        <f t="shared" si="22"/>
        <v>350.53199999999998</v>
      </c>
      <c r="C418" s="77" t="s">
        <v>5073</v>
      </c>
      <c r="D418" s="191" t="str">
        <f t="shared" si="20"/>
        <v>StrongLumio LED pásek 24V 26W/m (304 LED/m) 10mm, bílá studená</v>
      </c>
      <c r="E418" s="77" t="s">
        <v>2094</v>
      </c>
      <c r="F418" s="77" t="s">
        <v>2095</v>
      </c>
      <c r="G418" s="77" t="s">
        <v>2097</v>
      </c>
      <c r="H418" s="77" t="s">
        <v>2096</v>
      </c>
      <c r="I418" s="77" t="s">
        <v>992</v>
      </c>
      <c r="J418" s="90">
        <v>5</v>
      </c>
      <c r="K418" s="91">
        <v>1</v>
      </c>
      <c r="L418" s="77" t="s">
        <v>160</v>
      </c>
      <c r="M418" s="78">
        <v>350.53199999999998</v>
      </c>
      <c r="N418" s="79">
        <v>14.0625</v>
      </c>
      <c r="O418" s="79">
        <v>35.53745</v>
      </c>
      <c r="P418" s="79">
        <v>4552.3636399999996</v>
      </c>
      <c r="Q418" s="77"/>
      <c r="R418" s="77"/>
      <c r="S418" s="77"/>
      <c r="T418" s="77"/>
      <c r="U418" s="77"/>
      <c r="V418" s="87"/>
      <c r="W418" s="87"/>
      <c r="X418" s="87"/>
      <c r="Y418" s="77"/>
      <c r="Z418" s="88"/>
      <c r="AA418" s="35"/>
      <c r="AB418" s="35"/>
    </row>
    <row r="419" spans="1:28" x14ac:dyDescent="0.25">
      <c r="A419" s="68" t="str">
        <f t="shared" si="21"/>
        <v>405359</v>
      </c>
      <c r="B419" s="10">
        <f t="shared" si="22"/>
        <v>350.53199999999998</v>
      </c>
      <c r="C419" s="77" t="s">
        <v>5074</v>
      </c>
      <c r="D419" s="191" t="str">
        <f t="shared" si="20"/>
        <v>StrongLumio LED pásek 24V 26W/m (304 LED/m) 10mm, bílá teplá</v>
      </c>
      <c r="E419" s="77" t="s">
        <v>2098</v>
      </c>
      <c r="F419" s="77" t="s">
        <v>2099</v>
      </c>
      <c r="G419" s="77" t="s">
        <v>2101</v>
      </c>
      <c r="H419" s="77" t="s">
        <v>2100</v>
      </c>
      <c r="I419" s="77" t="s">
        <v>992</v>
      </c>
      <c r="J419" s="90">
        <v>50</v>
      </c>
      <c r="K419" s="91">
        <v>1</v>
      </c>
      <c r="L419" s="77" t="s">
        <v>160</v>
      </c>
      <c r="M419" s="78">
        <v>350.53199999999998</v>
      </c>
      <c r="N419" s="79">
        <v>14.0625</v>
      </c>
      <c r="O419" s="79">
        <v>32.940049999999999</v>
      </c>
      <c r="P419" s="79">
        <v>4552.3636399999996</v>
      </c>
      <c r="Q419" s="77"/>
      <c r="R419" s="77"/>
      <c r="S419" s="77"/>
      <c r="T419" s="77"/>
      <c r="U419" s="77"/>
      <c r="V419" s="87"/>
      <c r="W419" s="87"/>
      <c r="X419" s="87"/>
      <c r="Y419" s="77"/>
      <c r="Z419" s="88"/>
      <c r="AA419" s="35"/>
      <c r="AB419" s="35"/>
    </row>
    <row r="420" spans="1:28" x14ac:dyDescent="0.25">
      <c r="A420" s="68" t="str">
        <f t="shared" si="21"/>
        <v>355847</v>
      </c>
      <c r="B420" s="10">
        <f t="shared" si="22"/>
        <v>70</v>
      </c>
      <c r="C420" s="77" t="s">
        <v>5075</v>
      </c>
      <c r="D420" s="191" t="str">
        <f t="shared" si="20"/>
        <v>StrongLumio LED pásek 24V 6W/m (120 LED/m) 8mm CRI90, bílá neutrální</v>
      </c>
      <c r="E420" s="77" t="s">
        <v>2102</v>
      </c>
      <c r="F420" s="77" t="s">
        <v>2103</v>
      </c>
      <c r="G420" s="77" t="s">
        <v>2105</v>
      </c>
      <c r="H420" s="77" t="s">
        <v>2104</v>
      </c>
      <c r="I420" s="77" t="s">
        <v>992</v>
      </c>
      <c r="J420" s="90">
        <v>50</v>
      </c>
      <c r="K420" s="91">
        <v>1</v>
      </c>
      <c r="L420" s="77" t="s">
        <v>160</v>
      </c>
      <c r="M420" s="78">
        <v>70</v>
      </c>
      <c r="N420" s="79">
        <v>2.99</v>
      </c>
      <c r="O420" s="79">
        <v>12.99</v>
      </c>
      <c r="P420" s="79">
        <v>999</v>
      </c>
      <c r="Q420" s="77"/>
      <c r="R420" s="77"/>
      <c r="S420" s="77"/>
      <c r="T420" s="77"/>
      <c r="U420" s="77"/>
      <c r="V420" s="87"/>
      <c r="W420" s="87"/>
      <c r="X420" s="87"/>
      <c r="Y420" s="77"/>
      <c r="Z420" s="88"/>
      <c r="AA420" s="35"/>
      <c r="AB420" s="35"/>
    </row>
    <row r="421" spans="1:28" x14ac:dyDescent="0.25">
      <c r="A421" s="68" t="str">
        <f t="shared" si="21"/>
        <v>355848</v>
      </c>
      <c r="B421" s="10">
        <f t="shared" si="22"/>
        <v>66.619799999999998</v>
      </c>
      <c r="C421" s="77" t="s">
        <v>5076</v>
      </c>
      <c r="D421" s="191" t="str">
        <f t="shared" si="20"/>
        <v>StrongLumio LED pásek 24V 6W/m (120 LED/m) 8mm CRI90, bílá studená</v>
      </c>
      <c r="E421" s="77" t="s">
        <v>2106</v>
      </c>
      <c r="F421" s="77" t="s">
        <v>2107</v>
      </c>
      <c r="G421" s="77" t="s">
        <v>2109</v>
      </c>
      <c r="H421" s="77" t="s">
        <v>2108</v>
      </c>
      <c r="I421" s="77" t="s">
        <v>992</v>
      </c>
      <c r="J421" s="90">
        <v>12</v>
      </c>
      <c r="K421" s="91">
        <v>1</v>
      </c>
      <c r="L421" s="77" t="s">
        <v>160</v>
      </c>
      <c r="M421" s="78">
        <v>66.619799999999998</v>
      </c>
      <c r="N421" s="79">
        <v>2.9905499999999998</v>
      </c>
      <c r="O421" s="79">
        <v>39.38355</v>
      </c>
      <c r="P421" s="79">
        <v>1081.4902500000001</v>
      </c>
      <c r="Q421" s="77"/>
      <c r="R421" s="77"/>
      <c r="S421" s="77"/>
      <c r="T421" s="77"/>
      <c r="U421" s="77"/>
      <c r="V421" s="87"/>
      <c r="W421" s="87"/>
      <c r="X421" s="87"/>
      <c r="Y421" s="77"/>
      <c r="Z421" s="88"/>
      <c r="AA421" s="35"/>
      <c r="AB421" s="35"/>
    </row>
    <row r="422" spans="1:28" x14ac:dyDescent="0.25">
      <c r="A422" s="68" t="str">
        <f t="shared" si="21"/>
        <v>355846</v>
      </c>
      <c r="B422" s="10">
        <f t="shared" si="22"/>
        <v>260.12470000000002</v>
      </c>
      <c r="C422" s="77" t="s">
        <v>5077</v>
      </c>
      <c r="D422" s="191" t="str">
        <f t="shared" si="20"/>
        <v>StrongLumio LED pásek 24V 6W/m (120 LED/m) 8mm CRI90, bílá teplá</v>
      </c>
      <c r="E422" s="77" t="s">
        <v>2110</v>
      </c>
      <c r="F422" s="77" t="s">
        <v>2111</v>
      </c>
      <c r="G422" s="77" t="s">
        <v>2113</v>
      </c>
      <c r="H422" s="77" t="s">
        <v>2112</v>
      </c>
      <c r="I422" s="77" t="s">
        <v>992</v>
      </c>
      <c r="J422" s="90">
        <v>50</v>
      </c>
      <c r="K422" s="91">
        <v>1</v>
      </c>
      <c r="L422" s="77" t="s">
        <v>160</v>
      </c>
      <c r="M422" s="78">
        <v>260.12470000000002</v>
      </c>
      <c r="N422" s="79">
        <v>10.598380000000001</v>
      </c>
      <c r="O422" s="79">
        <v>29.59479</v>
      </c>
      <c r="P422" s="79">
        <v>3414.1815499999998</v>
      </c>
      <c r="Q422" s="77"/>
      <c r="R422" s="77"/>
      <c r="S422" s="77"/>
      <c r="T422" s="77"/>
      <c r="U422" s="77"/>
      <c r="V422" s="87"/>
      <c r="W422" s="87"/>
      <c r="X422" s="87"/>
      <c r="Y422" s="77"/>
      <c r="Z422" s="88"/>
      <c r="AA422" s="35"/>
      <c r="AB422" s="35"/>
    </row>
    <row r="423" spans="1:28" x14ac:dyDescent="0.25">
      <c r="A423" s="68" t="str">
        <f t="shared" si="21"/>
        <v>284555</v>
      </c>
      <c r="B423" s="10">
        <f t="shared" si="22"/>
        <v>106.4115</v>
      </c>
      <c r="C423" s="77" t="s">
        <v>5078</v>
      </c>
      <c r="D423" s="191" t="str">
        <f t="shared" si="20"/>
        <v>StrongLumio LED pásek 24V 6W/m (60 LED/m) 8mm, bílá neutrální</v>
      </c>
      <c r="E423" s="77" t="s">
        <v>699</v>
      </c>
      <c r="F423" s="77" t="s">
        <v>700</v>
      </c>
      <c r="G423" s="77" t="s">
        <v>701</v>
      </c>
      <c r="H423" s="77" t="s">
        <v>702</v>
      </c>
      <c r="I423" s="77" t="s">
        <v>992</v>
      </c>
      <c r="J423" s="90">
        <v>50</v>
      </c>
      <c r="K423" s="91">
        <v>1</v>
      </c>
      <c r="L423" s="77" t="s">
        <v>227</v>
      </c>
      <c r="M423" s="78">
        <v>106.4115</v>
      </c>
      <c r="N423" s="79">
        <v>4.2689700000000004</v>
      </c>
      <c r="O423" s="79">
        <v>9.8377300000000005</v>
      </c>
      <c r="P423" s="79">
        <v>1381.9675199999999</v>
      </c>
      <c r="Q423" s="77"/>
      <c r="R423" s="77"/>
      <c r="S423" s="77"/>
      <c r="T423" s="77"/>
      <c r="U423" s="77"/>
      <c r="V423" s="87"/>
      <c r="W423" s="87"/>
      <c r="X423" s="87"/>
      <c r="Y423" s="77"/>
      <c r="Z423" s="88"/>
      <c r="AA423" s="35"/>
      <c r="AB423" s="35"/>
    </row>
    <row r="424" spans="1:28" x14ac:dyDescent="0.25">
      <c r="A424" s="68" t="str">
        <f t="shared" si="21"/>
        <v>284556</v>
      </c>
      <c r="B424" s="10">
        <f t="shared" si="22"/>
        <v>106.4115</v>
      </c>
      <c r="C424" s="77" t="s">
        <v>5079</v>
      </c>
      <c r="D424" s="191" t="str">
        <f t="shared" si="20"/>
        <v>StrongLumio LED pásek 24V 6W/m (60 LED/m) 8mm, bílá studená</v>
      </c>
      <c r="E424" s="77" t="s">
        <v>704</v>
      </c>
      <c r="F424" s="77" t="s">
        <v>705</v>
      </c>
      <c r="G424" s="77" t="s">
        <v>706</v>
      </c>
      <c r="H424" s="77" t="s">
        <v>707</v>
      </c>
      <c r="I424" s="77" t="s">
        <v>992</v>
      </c>
      <c r="J424" s="90">
        <v>50</v>
      </c>
      <c r="K424" s="91">
        <v>1</v>
      </c>
      <c r="L424" s="77" t="s">
        <v>227</v>
      </c>
      <c r="M424" s="78">
        <v>106.4115</v>
      </c>
      <c r="N424" s="79">
        <v>4.2689700000000004</v>
      </c>
      <c r="O424" s="79">
        <v>11.7685</v>
      </c>
      <c r="P424" s="79">
        <v>1381.9675199999999</v>
      </c>
      <c r="Q424" s="77"/>
      <c r="R424" s="77"/>
      <c r="S424" s="77"/>
      <c r="T424" s="77"/>
      <c r="U424" s="77"/>
      <c r="V424" s="87"/>
      <c r="W424" s="87"/>
      <c r="X424" s="87"/>
      <c r="Y424" s="77"/>
      <c r="Z424" s="88"/>
      <c r="AA424" s="35"/>
      <c r="AB424" s="35"/>
    </row>
    <row r="425" spans="1:28" x14ac:dyDescent="0.25">
      <c r="A425" s="68" t="str">
        <f t="shared" si="21"/>
        <v>284554</v>
      </c>
      <c r="B425" s="10">
        <f t="shared" si="22"/>
        <v>106.4115</v>
      </c>
      <c r="C425" s="77" t="s">
        <v>5080</v>
      </c>
      <c r="D425" s="191" t="str">
        <f t="shared" si="20"/>
        <v>StrongLumio LED pásek 24V 6W/m (60 LED/m) 8mm, bílá teplá</v>
      </c>
      <c r="E425" s="77" t="s">
        <v>694</v>
      </c>
      <c r="F425" s="77" t="s">
        <v>695</v>
      </c>
      <c r="G425" s="77" t="s">
        <v>696</v>
      </c>
      <c r="H425" s="77" t="s">
        <v>697</v>
      </c>
      <c r="I425" s="77" t="s">
        <v>992</v>
      </c>
      <c r="J425" s="90">
        <v>50</v>
      </c>
      <c r="K425" s="91">
        <v>1</v>
      </c>
      <c r="L425" s="77" t="s">
        <v>227</v>
      </c>
      <c r="M425" s="78">
        <v>106.4115</v>
      </c>
      <c r="N425" s="79">
        <v>4.2689700000000004</v>
      </c>
      <c r="O425" s="79">
        <v>9.8031000000000006</v>
      </c>
      <c r="P425" s="79">
        <v>1381.9675199999999</v>
      </c>
      <c r="Q425" s="77"/>
      <c r="R425" s="77"/>
      <c r="S425" s="77"/>
      <c r="T425" s="77"/>
      <c r="U425" s="77"/>
      <c r="V425" s="87"/>
      <c r="W425" s="87"/>
      <c r="X425" s="87"/>
      <c r="Y425" s="77"/>
      <c r="Z425" s="88"/>
      <c r="AA425" s="35"/>
      <c r="AB425" s="35"/>
    </row>
    <row r="426" spans="1:28" x14ac:dyDescent="0.25">
      <c r="A426" s="68" t="str">
        <f t="shared" si="21"/>
        <v>535897</v>
      </c>
      <c r="B426" s="10">
        <f t="shared" si="22"/>
        <v>117.1485</v>
      </c>
      <c r="C426" s="77" t="s">
        <v>5081</v>
      </c>
      <c r="D426" s="191" t="str">
        <f t="shared" si="20"/>
        <v>StrongLumio LED pásek 4,8W/m 12V (60 LED/m) 8mm, extra bílá teplá</v>
      </c>
      <c r="E426" s="77" t="s">
        <v>2114</v>
      </c>
      <c r="F426" s="77" t="s">
        <v>890</v>
      </c>
      <c r="G426" s="77" t="s">
        <v>890</v>
      </c>
      <c r="H426" s="77" t="s">
        <v>890</v>
      </c>
      <c r="I426" s="77" t="s">
        <v>992</v>
      </c>
      <c r="J426" s="90">
        <v>5</v>
      </c>
      <c r="K426" s="91">
        <v>1</v>
      </c>
      <c r="L426" s="77" t="s">
        <v>6565</v>
      </c>
      <c r="M426" s="78">
        <v>117.1485</v>
      </c>
      <c r="N426" s="79">
        <v>4.9932100000000004</v>
      </c>
      <c r="O426" s="79">
        <v>15.2141</v>
      </c>
      <c r="P426" s="79">
        <v>1774.97729</v>
      </c>
      <c r="Q426" s="77"/>
      <c r="R426" s="77"/>
      <c r="S426" s="77"/>
      <c r="T426" s="77"/>
      <c r="U426" s="77"/>
      <c r="V426" s="87"/>
      <c r="W426" s="87"/>
      <c r="X426" s="87"/>
      <c r="Y426" s="77"/>
      <c r="Z426" s="88"/>
      <c r="AA426" s="35"/>
      <c r="AB426" s="35"/>
    </row>
    <row r="427" spans="1:28" x14ac:dyDescent="0.25">
      <c r="A427" s="68" t="str">
        <f t="shared" si="21"/>
        <v>509066</v>
      </c>
      <c r="B427" s="10">
        <f t="shared" si="22"/>
        <v>100.152</v>
      </c>
      <c r="C427" s="77" t="s">
        <v>5082</v>
      </c>
      <c r="D427" s="191" t="str">
        <f t="shared" si="20"/>
        <v>StrongLumio LED pásek COB 12V 10W/m (480 LED/m) 8mm, bílá neutrální</v>
      </c>
      <c r="E427" s="77" t="s">
        <v>524</v>
      </c>
      <c r="F427" s="77" t="s">
        <v>525</v>
      </c>
      <c r="G427" s="77" t="s">
        <v>2115</v>
      </c>
      <c r="H427" s="77" t="s">
        <v>527</v>
      </c>
      <c r="I427" s="77" t="s">
        <v>992</v>
      </c>
      <c r="J427" s="90">
        <v>50</v>
      </c>
      <c r="K427" s="91">
        <v>1</v>
      </c>
      <c r="L427" s="77" t="s">
        <v>227</v>
      </c>
      <c r="M427" s="78">
        <v>100.152</v>
      </c>
      <c r="N427" s="79">
        <v>4.0178700000000003</v>
      </c>
      <c r="O427" s="79">
        <v>9.32151</v>
      </c>
      <c r="P427" s="79">
        <v>1300.6753200000001</v>
      </c>
      <c r="Q427" s="77"/>
      <c r="R427" s="77"/>
      <c r="S427" s="77"/>
      <c r="T427" s="77"/>
      <c r="U427" s="77"/>
      <c r="V427" s="87"/>
      <c r="W427" s="87"/>
      <c r="X427" s="87"/>
      <c r="Y427" s="77"/>
      <c r="Z427" s="88"/>
      <c r="AA427" s="35"/>
      <c r="AB427" s="35"/>
    </row>
    <row r="428" spans="1:28" x14ac:dyDescent="0.25">
      <c r="A428" s="68" t="str">
        <f t="shared" si="21"/>
        <v>509067</v>
      </c>
      <c r="B428" s="10">
        <f t="shared" si="22"/>
        <v>100.152</v>
      </c>
      <c r="C428" s="77" t="s">
        <v>5083</v>
      </c>
      <c r="D428" s="191" t="str">
        <f t="shared" si="20"/>
        <v>StrongLumio LED pásek COB 12V 10W/m (480 LED/m) 8mm, bílá studená</v>
      </c>
      <c r="E428" s="77" t="s">
        <v>545</v>
      </c>
      <c r="F428" s="77" t="s">
        <v>546</v>
      </c>
      <c r="G428" s="77" t="s">
        <v>2116</v>
      </c>
      <c r="H428" s="77" t="s">
        <v>548</v>
      </c>
      <c r="I428" s="77" t="s">
        <v>992</v>
      </c>
      <c r="J428" s="90">
        <v>50</v>
      </c>
      <c r="K428" s="91">
        <v>1</v>
      </c>
      <c r="L428" s="77" t="s">
        <v>227</v>
      </c>
      <c r="M428" s="78">
        <v>100.152</v>
      </c>
      <c r="N428" s="79">
        <v>4.0178700000000003</v>
      </c>
      <c r="O428" s="79">
        <v>9.32151</v>
      </c>
      <c r="P428" s="79">
        <v>1300.6753200000001</v>
      </c>
      <c r="Q428" s="77"/>
      <c r="R428" s="77"/>
      <c r="S428" s="77"/>
      <c r="T428" s="77"/>
      <c r="U428" s="77"/>
      <c r="V428" s="87"/>
      <c r="W428" s="87"/>
      <c r="X428" s="87"/>
      <c r="Y428" s="77"/>
      <c r="Z428" s="88"/>
      <c r="AA428" s="35"/>
      <c r="AB428" s="35"/>
    </row>
    <row r="429" spans="1:28" x14ac:dyDescent="0.25">
      <c r="A429" s="68" t="str">
        <f t="shared" si="21"/>
        <v>509065</v>
      </c>
      <c r="B429" s="10">
        <f t="shared" si="22"/>
        <v>100.152</v>
      </c>
      <c r="C429" s="77" t="s">
        <v>5084</v>
      </c>
      <c r="D429" s="191" t="str">
        <f t="shared" si="20"/>
        <v>StrongLumio LED pásek COB 12V 10W/m (480 LED/m) 8mm, bílá teplá</v>
      </c>
      <c r="E429" s="77" t="s">
        <v>535</v>
      </c>
      <c r="F429" s="77" t="s">
        <v>536</v>
      </c>
      <c r="G429" s="77" t="s">
        <v>2117</v>
      </c>
      <c r="H429" s="77" t="s">
        <v>538</v>
      </c>
      <c r="I429" s="77" t="s">
        <v>992</v>
      </c>
      <c r="J429" s="90">
        <v>50</v>
      </c>
      <c r="K429" s="91">
        <v>1</v>
      </c>
      <c r="L429" s="77" t="s">
        <v>227</v>
      </c>
      <c r="M429" s="78">
        <v>100.152</v>
      </c>
      <c r="N429" s="79">
        <v>4.0178700000000003</v>
      </c>
      <c r="O429" s="79">
        <v>9.32151</v>
      </c>
      <c r="P429" s="79">
        <v>1300.6753200000001</v>
      </c>
      <c r="Q429" s="77"/>
      <c r="R429" s="77"/>
      <c r="S429" s="77"/>
      <c r="T429" s="77"/>
      <c r="U429" s="77"/>
      <c r="V429" s="87"/>
      <c r="W429" s="87"/>
      <c r="X429" s="87"/>
      <c r="Y429" s="77"/>
      <c r="Z429" s="88"/>
      <c r="AA429" s="35"/>
      <c r="AB429" s="35"/>
    </row>
    <row r="430" spans="1:28" x14ac:dyDescent="0.25">
      <c r="A430" s="68" t="str">
        <f t="shared" si="21"/>
        <v>544535</v>
      </c>
      <c r="B430" s="10">
        <f t="shared" si="22"/>
        <v>78.259799999999998</v>
      </c>
      <c r="C430" s="77" t="s">
        <v>5085</v>
      </c>
      <c r="D430" s="191" t="str">
        <f t="shared" si="20"/>
        <v>StrongLumio LED pásek COB 12V 5W/m (320 LED/m) 8mm, bílá neutrální</v>
      </c>
      <c r="E430" s="77" t="s">
        <v>744</v>
      </c>
      <c r="F430" s="77" t="s">
        <v>745</v>
      </c>
      <c r="G430" s="77" t="s">
        <v>746</v>
      </c>
      <c r="H430" s="77" t="s">
        <v>747</v>
      </c>
      <c r="I430" s="77" t="s">
        <v>992</v>
      </c>
      <c r="J430" s="90">
        <v>50</v>
      </c>
      <c r="K430" s="91">
        <v>1</v>
      </c>
      <c r="L430" s="77" t="s">
        <v>227</v>
      </c>
      <c r="M430" s="78">
        <v>78.259799999999998</v>
      </c>
      <c r="N430" s="79">
        <v>3.2103899999999999</v>
      </c>
      <c r="O430" s="79">
        <v>7.8035300000000003</v>
      </c>
      <c r="P430" s="79">
        <v>927.33331999999996</v>
      </c>
      <c r="Q430" s="77"/>
      <c r="R430" s="77"/>
      <c r="S430" s="77"/>
      <c r="T430" s="77"/>
      <c r="U430" s="77"/>
      <c r="V430" s="87"/>
      <c r="W430" s="87"/>
      <c r="X430" s="87"/>
      <c r="Y430" s="77"/>
      <c r="Z430" s="88"/>
      <c r="AA430" s="35"/>
      <c r="AB430" s="35"/>
    </row>
    <row r="431" spans="1:28" x14ac:dyDescent="0.25">
      <c r="A431" s="68" t="str">
        <f t="shared" si="21"/>
        <v>544536</v>
      </c>
      <c r="B431" s="10">
        <f t="shared" si="22"/>
        <v>78.259799999999998</v>
      </c>
      <c r="C431" s="77" t="s">
        <v>5086</v>
      </c>
      <c r="D431" s="191" t="str">
        <f t="shared" si="20"/>
        <v>StrongLumio LED pásek COB 12V 5W/m (320 LED/m) 8mm, bílá studená</v>
      </c>
      <c r="E431" s="77" t="s">
        <v>749</v>
      </c>
      <c r="F431" s="77" t="s">
        <v>750</v>
      </c>
      <c r="G431" s="77" t="s">
        <v>751</v>
      </c>
      <c r="H431" s="77" t="s">
        <v>752</v>
      </c>
      <c r="I431" s="77" t="s">
        <v>992</v>
      </c>
      <c r="J431" s="90">
        <v>50</v>
      </c>
      <c r="K431" s="91">
        <v>1</v>
      </c>
      <c r="L431" s="77" t="s">
        <v>227</v>
      </c>
      <c r="M431" s="78">
        <v>78.259799999999998</v>
      </c>
      <c r="N431" s="79">
        <v>3.2103899999999999</v>
      </c>
      <c r="O431" s="79">
        <v>7.8035300000000003</v>
      </c>
      <c r="P431" s="79">
        <v>927.33331999999996</v>
      </c>
      <c r="Q431" s="77"/>
      <c r="R431" s="77"/>
      <c r="S431" s="77"/>
      <c r="T431" s="77"/>
      <c r="U431" s="77"/>
      <c r="V431" s="87"/>
      <c r="W431" s="87"/>
      <c r="X431" s="87"/>
      <c r="Y431" s="77"/>
      <c r="Z431" s="88"/>
      <c r="AA431" s="35"/>
      <c r="AB431" s="35"/>
    </row>
    <row r="432" spans="1:28" x14ac:dyDescent="0.25">
      <c r="A432" s="68" t="str">
        <f t="shared" si="21"/>
        <v>544534</v>
      </c>
      <c r="B432" s="10">
        <f t="shared" si="22"/>
        <v>78.259799999999998</v>
      </c>
      <c r="C432" s="77" t="s">
        <v>5087</v>
      </c>
      <c r="D432" s="191" t="str">
        <f t="shared" si="20"/>
        <v>StrongLumio LED pásek COB 12V 5W/m (320 LED/m) 8mm, bílá teplá</v>
      </c>
      <c r="E432" s="77" t="s">
        <v>739</v>
      </c>
      <c r="F432" s="77" t="s">
        <v>740</v>
      </c>
      <c r="G432" s="77" t="s">
        <v>741</v>
      </c>
      <c r="H432" s="77" t="s">
        <v>742</v>
      </c>
      <c r="I432" s="77" t="s">
        <v>992</v>
      </c>
      <c r="J432" s="90">
        <v>50</v>
      </c>
      <c r="K432" s="91">
        <v>1</v>
      </c>
      <c r="L432" s="77" t="s">
        <v>227</v>
      </c>
      <c r="M432" s="78">
        <v>78.259799999999998</v>
      </c>
      <c r="N432" s="79">
        <v>3.2103899999999999</v>
      </c>
      <c r="O432" s="79">
        <v>7.8035300000000003</v>
      </c>
      <c r="P432" s="79">
        <v>927.33331999999996</v>
      </c>
      <c r="Q432" s="77"/>
      <c r="R432" s="77"/>
      <c r="S432" s="77"/>
      <c r="T432" s="77"/>
      <c r="U432" s="77"/>
      <c r="V432" s="87"/>
      <c r="W432" s="87"/>
      <c r="X432" s="87"/>
      <c r="Y432" s="77"/>
      <c r="Z432" s="88"/>
      <c r="AA432" s="35"/>
      <c r="AB432" s="35"/>
    </row>
    <row r="433" spans="1:28" x14ac:dyDescent="0.25">
      <c r="A433" s="68" t="str">
        <f t="shared" si="21"/>
        <v>544705</v>
      </c>
      <c r="B433" s="10">
        <f t="shared" si="22"/>
        <v>102.64319999999999</v>
      </c>
      <c r="C433" s="77" t="s">
        <v>5088</v>
      </c>
      <c r="D433" s="191" t="str">
        <f t="shared" si="20"/>
        <v>StrongLumio LED pásek COB 24V 10+10W/m (576 LED/m) - 8mm 2PIN CCT</v>
      </c>
      <c r="E433" s="77" t="s">
        <v>2118</v>
      </c>
      <c r="F433" s="77" t="s">
        <v>6445</v>
      </c>
      <c r="G433" s="77" t="s">
        <v>2120</v>
      </c>
      <c r="H433" s="77" t="s">
        <v>2119</v>
      </c>
      <c r="I433" s="77" t="s">
        <v>992</v>
      </c>
      <c r="J433" s="90">
        <v>50</v>
      </c>
      <c r="K433" s="91">
        <v>1</v>
      </c>
      <c r="L433" s="77" t="s">
        <v>227</v>
      </c>
      <c r="M433" s="78">
        <v>102.64319999999999</v>
      </c>
      <c r="N433" s="79">
        <v>4.5386600000000001</v>
      </c>
      <c r="O433" s="79">
        <v>15.68979</v>
      </c>
      <c r="P433" s="79">
        <v>1428.84</v>
      </c>
      <c r="Q433" s="77"/>
      <c r="R433" s="77"/>
      <c r="S433" s="77"/>
      <c r="T433" s="77"/>
      <c r="U433" s="77"/>
      <c r="V433" s="87"/>
      <c r="W433" s="87"/>
      <c r="X433" s="87"/>
      <c r="Y433" s="77"/>
      <c r="Z433" s="88"/>
      <c r="AA433" s="35"/>
      <c r="AB433" s="35"/>
    </row>
    <row r="434" spans="1:28" x14ac:dyDescent="0.25">
      <c r="A434" s="68" t="str">
        <f t="shared" si="21"/>
        <v>472110</v>
      </c>
      <c r="B434" s="10">
        <f t="shared" si="22"/>
        <v>171.84960000000001</v>
      </c>
      <c r="C434" s="77" t="s">
        <v>5089</v>
      </c>
      <c r="D434" s="191" t="str">
        <f t="shared" si="20"/>
        <v>StrongLumio LED pásek COB 24V 11+11W/m (608 LED/m) 10mm CCT</v>
      </c>
      <c r="E434" s="77" t="s">
        <v>2121</v>
      </c>
      <c r="F434" s="77" t="s">
        <v>2122</v>
      </c>
      <c r="G434" s="77" t="s">
        <v>6446</v>
      </c>
      <c r="H434" s="77" t="s">
        <v>2123</v>
      </c>
      <c r="I434" s="77" t="s">
        <v>992</v>
      </c>
      <c r="J434" s="90">
        <v>50</v>
      </c>
      <c r="K434" s="91">
        <v>1</v>
      </c>
      <c r="L434" s="77" t="s">
        <v>227</v>
      </c>
      <c r="M434" s="78">
        <v>171.84960000000001</v>
      </c>
      <c r="N434" s="79">
        <v>7.4617500000000003</v>
      </c>
      <c r="O434" s="79">
        <v>23.46153</v>
      </c>
      <c r="P434" s="79">
        <v>2441.0454599999998</v>
      </c>
      <c r="Q434" s="77"/>
      <c r="R434" s="77"/>
      <c r="S434" s="77"/>
      <c r="T434" s="77"/>
      <c r="U434" s="77"/>
      <c r="V434" s="87"/>
      <c r="W434" s="87"/>
      <c r="X434" s="87"/>
      <c r="Y434" s="77"/>
      <c r="Z434" s="88"/>
      <c r="AA434" s="35"/>
      <c r="AB434" s="35"/>
    </row>
    <row r="435" spans="1:28" x14ac:dyDescent="0.25">
      <c r="A435" s="68" t="str">
        <f t="shared" si="21"/>
        <v>491405</v>
      </c>
      <c r="B435" s="10">
        <f t="shared" si="22"/>
        <v>132.70140000000001</v>
      </c>
      <c r="C435" s="77" t="s">
        <v>5090</v>
      </c>
      <c r="D435" s="191" t="str">
        <f t="shared" si="20"/>
        <v>StrongLumio LED pásek COB 24V 12W/m (480 LED/m) 8mm, bílá neutrální</v>
      </c>
      <c r="E435" s="77" t="s">
        <v>597</v>
      </c>
      <c r="F435" s="77" t="s">
        <v>598</v>
      </c>
      <c r="G435" s="77" t="s">
        <v>599</v>
      </c>
      <c r="H435" s="77" t="s">
        <v>600</v>
      </c>
      <c r="I435" s="77" t="s">
        <v>992</v>
      </c>
      <c r="J435" s="90">
        <v>50</v>
      </c>
      <c r="K435" s="91">
        <v>1</v>
      </c>
      <c r="L435" s="77" t="s">
        <v>227</v>
      </c>
      <c r="M435" s="78">
        <v>132.70140000000001</v>
      </c>
      <c r="N435" s="79">
        <v>5.4436999999999998</v>
      </c>
      <c r="O435" s="79">
        <v>13.910130000000001</v>
      </c>
      <c r="P435" s="79">
        <v>1714.8857</v>
      </c>
      <c r="Q435" s="77"/>
      <c r="R435" s="77"/>
      <c r="S435" s="77"/>
      <c r="T435" s="77"/>
      <c r="U435" s="77"/>
      <c r="V435" s="87"/>
      <c r="W435" s="87"/>
      <c r="X435" s="87"/>
      <c r="Y435" s="77"/>
      <c r="Z435" s="88"/>
      <c r="AA435" s="35"/>
      <c r="AB435" s="35"/>
    </row>
    <row r="436" spans="1:28" x14ac:dyDescent="0.25">
      <c r="A436" s="68" t="str">
        <f t="shared" si="21"/>
        <v>491416</v>
      </c>
      <c r="B436" s="10">
        <f t="shared" si="22"/>
        <v>132.70140000000001</v>
      </c>
      <c r="C436" s="77" t="s">
        <v>5091</v>
      </c>
      <c r="D436" s="191" t="str">
        <f t="shared" si="20"/>
        <v>StrongLumio LED pásek COB 24V 12W/m (480 LED/m) 8mm, bílá studená</v>
      </c>
      <c r="E436" s="77" t="s">
        <v>619</v>
      </c>
      <c r="F436" s="77" t="s">
        <v>620</v>
      </c>
      <c r="G436" s="77" t="s">
        <v>621</v>
      </c>
      <c r="H436" s="77" t="s">
        <v>622</v>
      </c>
      <c r="I436" s="77" t="s">
        <v>992</v>
      </c>
      <c r="J436" s="90">
        <v>50</v>
      </c>
      <c r="K436" s="91">
        <v>1</v>
      </c>
      <c r="L436" s="77" t="s">
        <v>227</v>
      </c>
      <c r="M436" s="78">
        <v>132.70140000000001</v>
      </c>
      <c r="N436" s="79">
        <v>5.4436999999999998</v>
      </c>
      <c r="O436" s="79">
        <v>13.910130000000001</v>
      </c>
      <c r="P436" s="79">
        <v>1714.8857</v>
      </c>
      <c r="Q436" s="77"/>
      <c r="R436" s="77"/>
      <c r="S436" s="77"/>
      <c r="T436" s="77"/>
      <c r="U436" s="77"/>
      <c r="V436" s="87"/>
      <c r="W436" s="87"/>
      <c r="X436" s="87"/>
      <c r="Y436" s="77"/>
      <c r="Z436" s="88"/>
      <c r="AA436" s="35"/>
      <c r="AB436" s="35"/>
    </row>
    <row r="437" spans="1:28" x14ac:dyDescent="0.25">
      <c r="A437" s="68" t="str">
        <f t="shared" si="21"/>
        <v>491417</v>
      </c>
      <c r="B437" s="10">
        <f t="shared" si="22"/>
        <v>132.70140000000001</v>
      </c>
      <c r="C437" s="77" t="s">
        <v>5092</v>
      </c>
      <c r="D437" s="191" t="str">
        <f t="shared" si="20"/>
        <v>StrongLumio LED pásek COB 24V 12W/m (480 LED/m) 8mm, bílá teplá</v>
      </c>
      <c r="E437" s="77" t="s">
        <v>572</v>
      </c>
      <c r="F437" s="77" t="s">
        <v>573</v>
      </c>
      <c r="G437" s="77" t="s">
        <v>574</v>
      </c>
      <c r="H437" s="77" t="s">
        <v>575</v>
      </c>
      <c r="I437" s="77" t="s">
        <v>992</v>
      </c>
      <c r="J437" s="90">
        <v>50</v>
      </c>
      <c r="K437" s="91">
        <v>1</v>
      </c>
      <c r="L437" s="77" t="s">
        <v>227</v>
      </c>
      <c r="M437" s="78">
        <v>132.70140000000001</v>
      </c>
      <c r="N437" s="79">
        <v>5.4436999999999998</v>
      </c>
      <c r="O437" s="79">
        <v>13.910130000000001</v>
      </c>
      <c r="P437" s="79">
        <v>1714.8857</v>
      </c>
      <c r="Q437" s="77"/>
      <c r="R437" s="77"/>
      <c r="S437" s="77"/>
      <c r="T437" s="77"/>
      <c r="U437" s="77"/>
      <c r="V437" s="87"/>
      <c r="W437" s="87"/>
      <c r="X437" s="87"/>
      <c r="Y437" s="77"/>
      <c r="Z437" s="88"/>
      <c r="AA437" s="35"/>
      <c r="AB437" s="35"/>
    </row>
    <row r="438" spans="1:28" x14ac:dyDescent="0.25">
      <c r="A438" s="68" t="str">
        <f t="shared" si="21"/>
        <v>544583</v>
      </c>
      <c r="B438" s="10">
        <f t="shared" si="22"/>
        <v>138.886</v>
      </c>
      <c r="C438" s="77" t="s">
        <v>5093</v>
      </c>
      <c r="D438" s="191" t="str">
        <f t="shared" si="20"/>
        <v>StrongLumio LED pásek COB 24V 12W/m (480 LED/m) 8mm, extra bílá teplá</v>
      </c>
      <c r="E438" s="77" t="s">
        <v>577</v>
      </c>
      <c r="F438" s="77" t="s">
        <v>578</v>
      </c>
      <c r="G438" s="77" t="s">
        <v>579</v>
      </c>
      <c r="H438" s="77" t="s">
        <v>580</v>
      </c>
      <c r="I438" s="77" t="s">
        <v>992</v>
      </c>
      <c r="J438" s="90">
        <v>50</v>
      </c>
      <c r="K438" s="91">
        <v>1</v>
      </c>
      <c r="L438" s="77" t="s">
        <v>227</v>
      </c>
      <c r="M438" s="78">
        <v>138.886</v>
      </c>
      <c r="N438" s="79">
        <v>5.6741000000000001</v>
      </c>
      <c r="O438" s="79">
        <v>14.166399999999999</v>
      </c>
      <c r="P438" s="79">
        <v>1683.46668</v>
      </c>
      <c r="Q438" s="77"/>
      <c r="R438" s="77"/>
      <c r="S438" s="77"/>
      <c r="T438" s="77"/>
      <c r="U438" s="77"/>
      <c r="V438" s="87"/>
      <c r="W438" s="87"/>
      <c r="X438" s="87"/>
      <c r="Y438" s="77"/>
      <c r="Z438" s="88"/>
      <c r="AA438" s="35"/>
      <c r="AB438" s="35"/>
    </row>
    <row r="439" spans="1:28" x14ac:dyDescent="0.25">
      <c r="A439" s="68" t="str">
        <f t="shared" si="21"/>
        <v>472108</v>
      </c>
      <c r="B439" s="10">
        <f t="shared" si="22"/>
        <v>154.41192000000001</v>
      </c>
      <c r="C439" s="77" t="s">
        <v>5094</v>
      </c>
      <c r="D439" s="191" t="str">
        <f t="shared" si="20"/>
        <v>StrongLumio LED pásek COB 24V 14W/m (512 LED/m) 10mm, bílá neutrální</v>
      </c>
      <c r="E439" s="77" t="s">
        <v>592</v>
      </c>
      <c r="F439" s="77" t="s">
        <v>593</v>
      </c>
      <c r="G439" s="77" t="s">
        <v>6447</v>
      </c>
      <c r="H439" s="77" t="s">
        <v>595</v>
      </c>
      <c r="I439" s="77" t="s">
        <v>992</v>
      </c>
      <c r="J439" s="90">
        <v>50</v>
      </c>
      <c r="K439" s="91">
        <v>1</v>
      </c>
      <c r="L439" s="77" t="s">
        <v>227</v>
      </c>
      <c r="M439" s="78">
        <v>154.41192000000001</v>
      </c>
      <c r="N439" s="79">
        <v>6.29129</v>
      </c>
      <c r="O439" s="79">
        <v>15.59136</v>
      </c>
      <c r="P439" s="79">
        <v>2026.6831099999999</v>
      </c>
      <c r="Q439" s="77"/>
      <c r="R439" s="77"/>
      <c r="S439" s="77"/>
      <c r="T439" s="77"/>
      <c r="U439" s="77"/>
      <c r="V439" s="87"/>
      <c r="W439" s="87"/>
      <c r="X439" s="87"/>
      <c r="Y439" s="77"/>
      <c r="Z439" s="88"/>
      <c r="AA439" s="35"/>
      <c r="AB439" s="35"/>
    </row>
    <row r="440" spans="1:28" x14ac:dyDescent="0.25">
      <c r="A440" s="68" t="str">
        <f t="shared" si="21"/>
        <v>472107</v>
      </c>
      <c r="B440" s="10">
        <f t="shared" si="22"/>
        <v>154.41192000000001</v>
      </c>
      <c r="C440" s="77" t="s">
        <v>5095</v>
      </c>
      <c r="D440" s="191" t="str">
        <f t="shared" si="20"/>
        <v>StrongLumio LED pásek COB 24V 14W/m (512 LED/m) 10mm, bílá studená</v>
      </c>
      <c r="E440" s="77" t="s">
        <v>614</v>
      </c>
      <c r="F440" s="77" t="s">
        <v>615</v>
      </c>
      <c r="G440" s="77" t="s">
        <v>6448</v>
      </c>
      <c r="H440" s="77" t="s">
        <v>617</v>
      </c>
      <c r="I440" s="77" t="s">
        <v>992</v>
      </c>
      <c r="J440" s="90">
        <v>50</v>
      </c>
      <c r="K440" s="91">
        <v>1</v>
      </c>
      <c r="L440" s="77" t="s">
        <v>227</v>
      </c>
      <c r="M440" s="78">
        <v>154.41192000000001</v>
      </c>
      <c r="N440" s="79">
        <v>6.29129</v>
      </c>
      <c r="O440" s="79">
        <v>15.59136</v>
      </c>
      <c r="P440" s="79">
        <v>2026.6831099999999</v>
      </c>
      <c r="Q440" s="77"/>
      <c r="R440" s="77"/>
      <c r="S440" s="77"/>
      <c r="T440" s="77"/>
      <c r="U440" s="77"/>
      <c r="V440" s="87"/>
      <c r="W440" s="87"/>
      <c r="X440" s="87"/>
      <c r="Y440" s="77"/>
      <c r="Z440" s="88"/>
      <c r="AA440" s="35"/>
      <c r="AB440" s="35"/>
    </row>
    <row r="441" spans="1:28" x14ac:dyDescent="0.25">
      <c r="A441" s="68" t="str">
        <f t="shared" si="21"/>
        <v>472109</v>
      </c>
      <c r="B441" s="10">
        <f t="shared" si="22"/>
        <v>154.41192000000001</v>
      </c>
      <c r="C441" s="77" t="s">
        <v>5096</v>
      </c>
      <c r="D441" s="191" t="str">
        <f t="shared" si="20"/>
        <v>StrongLumio LED pásek COB 24V 14W/m (512 LED/m) 10mm, bílá teplá</v>
      </c>
      <c r="E441" s="77" t="s">
        <v>566</v>
      </c>
      <c r="F441" s="77" t="s">
        <v>567</v>
      </c>
      <c r="G441" s="77" t="s">
        <v>6449</v>
      </c>
      <c r="H441" s="77" t="s">
        <v>569</v>
      </c>
      <c r="I441" s="77" t="s">
        <v>992</v>
      </c>
      <c r="J441" s="90">
        <v>50</v>
      </c>
      <c r="K441" s="91">
        <v>1</v>
      </c>
      <c r="L441" s="77" t="s">
        <v>227</v>
      </c>
      <c r="M441" s="78">
        <v>154.41192000000001</v>
      </c>
      <c r="N441" s="79">
        <v>6.29129</v>
      </c>
      <c r="O441" s="79">
        <v>15.59136</v>
      </c>
      <c r="P441" s="79">
        <v>2026.6831099999999</v>
      </c>
      <c r="Q441" s="77"/>
      <c r="R441" s="77"/>
      <c r="S441" s="77"/>
      <c r="T441" s="77"/>
      <c r="U441" s="77"/>
      <c r="V441" s="87"/>
      <c r="W441" s="87"/>
      <c r="X441" s="87"/>
      <c r="Y441" s="77"/>
      <c r="Z441" s="88"/>
      <c r="AA441" s="35"/>
      <c r="AB441" s="35"/>
    </row>
    <row r="442" spans="1:28" x14ac:dyDescent="0.25">
      <c r="A442" s="68" t="str">
        <f t="shared" si="21"/>
        <v>472111</v>
      </c>
      <c r="B442" s="10">
        <f t="shared" si="22"/>
        <v>323.48160000000001</v>
      </c>
      <c r="C442" s="77" t="s">
        <v>5097</v>
      </c>
      <c r="D442" s="191" t="str">
        <f t="shared" si="20"/>
        <v>StrongLumio LED pásek COB 24V 15W/m (840 LED/m) 10mm RGB</v>
      </c>
      <c r="E442" s="77" t="s">
        <v>2124</v>
      </c>
      <c r="F442" s="77" t="s">
        <v>2125</v>
      </c>
      <c r="G442" s="77" t="s">
        <v>6450</v>
      </c>
      <c r="H442" s="77" t="s">
        <v>2126</v>
      </c>
      <c r="I442" s="77" t="s">
        <v>992</v>
      </c>
      <c r="J442" s="90">
        <v>50</v>
      </c>
      <c r="K442" s="91">
        <v>1</v>
      </c>
      <c r="L442" s="77" t="s">
        <v>227</v>
      </c>
      <c r="M442" s="78">
        <v>323.48160000000001</v>
      </c>
      <c r="N442" s="79">
        <v>14.04562</v>
      </c>
      <c r="O442" s="79">
        <v>46.591920000000002</v>
      </c>
      <c r="P442" s="79">
        <v>4594.9090999999999</v>
      </c>
      <c r="Q442" s="77"/>
      <c r="R442" s="77"/>
      <c r="S442" s="77"/>
      <c r="T442" s="77"/>
      <c r="U442" s="77"/>
      <c r="V442" s="87"/>
      <c r="W442" s="87"/>
      <c r="X442" s="87"/>
      <c r="Y442" s="77"/>
      <c r="Z442" s="88"/>
      <c r="AA442" s="35"/>
      <c r="AB442" s="35"/>
    </row>
    <row r="443" spans="1:28" x14ac:dyDescent="0.25">
      <c r="A443" s="68" t="str">
        <f t="shared" si="21"/>
        <v>544532</v>
      </c>
      <c r="B443" s="10">
        <f t="shared" si="22"/>
        <v>78.259799999999998</v>
      </c>
      <c r="C443" s="77" t="s">
        <v>5098</v>
      </c>
      <c r="D443" s="191" t="str">
        <f t="shared" si="20"/>
        <v>StrongLumio LED pásek COB 24V 5W/m (320 LED/m) 8mm, bílá neutrální</v>
      </c>
      <c r="E443" s="77" t="s">
        <v>729</v>
      </c>
      <c r="F443" s="77" t="s">
        <v>730</v>
      </c>
      <c r="G443" s="77" t="s">
        <v>731</v>
      </c>
      <c r="H443" s="77" t="s">
        <v>732</v>
      </c>
      <c r="I443" s="77" t="s">
        <v>992</v>
      </c>
      <c r="J443" s="90">
        <v>50</v>
      </c>
      <c r="K443" s="91">
        <v>1</v>
      </c>
      <c r="L443" s="77" t="s">
        <v>227</v>
      </c>
      <c r="M443" s="78">
        <v>78.259799999999998</v>
      </c>
      <c r="N443" s="79">
        <v>3.2103899999999999</v>
      </c>
      <c r="O443" s="79">
        <v>8.9942299999999999</v>
      </c>
      <c r="P443" s="79">
        <v>973.7</v>
      </c>
      <c r="Q443" s="77"/>
      <c r="R443" s="77"/>
      <c r="S443" s="77"/>
      <c r="T443" s="77"/>
      <c r="U443" s="77"/>
      <c r="V443" s="87"/>
      <c r="W443" s="87"/>
      <c r="X443" s="87"/>
      <c r="Y443" s="77"/>
      <c r="Z443" s="88"/>
      <c r="AA443" s="35"/>
      <c r="AB443" s="35"/>
    </row>
    <row r="444" spans="1:28" x14ac:dyDescent="0.25">
      <c r="A444" s="68" t="str">
        <f t="shared" si="21"/>
        <v>544533</v>
      </c>
      <c r="B444" s="10">
        <f t="shared" si="22"/>
        <v>78.259799999999998</v>
      </c>
      <c r="C444" s="77" t="s">
        <v>5099</v>
      </c>
      <c r="D444" s="191" t="str">
        <f t="shared" si="20"/>
        <v>StrongLumio LED pásek COB 24V 5W/m (320 LED/m) 8mm, bílá studená</v>
      </c>
      <c r="E444" s="77" t="s">
        <v>734</v>
      </c>
      <c r="F444" s="77" t="s">
        <v>735</v>
      </c>
      <c r="G444" s="77" t="s">
        <v>736</v>
      </c>
      <c r="H444" s="77" t="s">
        <v>737</v>
      </c>
      <c r="I444" s="77" t="s">
        <v>992</v>
      </c>
      <c r="J444" s="90">
        <v>50</v>
      </c>
      <c r="K444" s="91">
        <v>1</v>
      </c>
      <c r="L444" s="77" t="s">
        <v>227</v>
      </c>
      <c r="M444" s="78">
        <v>78.259799999999998</v>
      </c>
      <c r="N444" s="79">
        <v>3.2103899999999999</v>
      </c>
      <c r="O444" s="79">
        <v>8.9942299999999999</v>
      </c>
      <c r="P444" s="79">
        <v>927.33331999999996</v>
      </c>
      <c r="Q444" s="77"/>
      <c r="R444" s="77"/>
      <c r="S444" s="77"/>
      <c r="T444" s="77"/>
      <c r="U444" s="77"/>
      <c r="V444" s="87"/>
      <c r="W444" s="87"/>
      <c r="X444" s="87"/>
      <c r="Y444" s="77"/>
      <c r="Z444" s="88"/>
      <c r="AA444" s="35"/>
      <c r="AB444" s="35"/>
    </row>
    <row r="445" spans="1:28" x14ac:dyDescent="0.25">
      <c r="A445" s="68" t="str">
        <f t="shared" si="21"/>
        <v>544503</v>
      </c>
      <c r="B445" s="10">
        <f t="shared" si="22"/>
        <v>78.259799999999998</v>
      </c>
      <c r="C445" s="77" t="s">
        <v>5100</v>
      </c>
      <c r="D445" s="191" t="str">
        <f t="shared" si="20"/>
        <v>StrongLumio LED pásek COB 24V 5W/m (320 LED/m) 8mm, bílá teplá</v>
      </c>
      <c r="E445" s="77" t="s">
        <v>724</v>
      </c>
      <c r="F445" s="77" t="s">
        <v>725</v>
      </c>
      <c r="G445" s="77" t="s">
        <v>726</v>
      </c>
      <c r="H445" s="77" t="s">
        <v>727</v>
      </c>
      <c r="I445" s="77" t="s">
        <v>992</v>
      </c>
      <c r="J445" s="90">
        <v>50</v>
      </c>
      <c r="K445" s="91">
        <v>1</v>
      </c>
      <c r="L445" s="77" t="s">
        <v>227</v>
      </c>
      <c r="M445" s="78">
        <v>78.259799999999998</v>
      </c>
      <c r="N445" s="79">
        <v>3.2103899999999999</v>
      </c>
      <c r="O445" s="79">
        <v>8.9942299999999999</v>
      </c>
      <c r="P445" s="79">
        <v>927.33331999999996</v>
      </c>
      <c r="Q445" s="77"/>
      <c r="R445" s="77"/>
      <c r="S445" s="77"/>
      <c r="T445" s="77"/>
      <c r="U445" s="77"/>
      <c r="V445" s="87"/>
      <c r="W445" s="87"/>
      <c r="X445" s="87"/>
      <c r="Y445" s="77"/>
      <c r="Z445" s="88"/>
      <c r="AA445" s="35"/>
      <c r="AB445" s="35"/>
    </row>
    <row r="446" spans="1:28" x14ac:dyDescent="0.25">
      <c r="A446" s="68" t="str">
        <f t="shared" si="21"/>
        <v>544585</v>
      </c>
      <c r="B446" s="10">
        <f t="shared" si="22"/>
        <v>90.393410000000003</v>
      </c>
      <c r="C446" s="77" t="s">
        <v>5101</v>
      </c>
      <c r="D446" s="191" t="str">
        <f t="shared" si="20"/>
        <v>StrongLumio LED pásek COB 24V 8W/m (320 LED/m) 5mm, bílá neutrální</v>
      </c>
      <c r="E446" s="77" t="s">
        <v>587</v>
      </c>
      <c r="F446" s="77" t="s">
        <v>588</v>
      </c>
      <c r="G446" s="77" t="s">
        <v>589</v>
      </c>
      <c r="H446" s="77" t="s">
        <v>590</v>
      </c>
      <c r="I446" s="77" t="s">
        <v>992</v>
      </c>
      <c r="J446" s="90">
        <v>50</v>
      </c>
      <c r="K446" s="91">
        <v>1</v>
      </c>
      <c r="L446" s="77" t="s">
        <v>227</v>
      </c>
      <c r="M446" s="78">
        <v>90.393410000000003</v>
      </c>
      <c r="N446" s="79">
        <v>3.7659799999999999</v>
      </c>
      <c r="O446" s="79">
        <v>11.77702</v>
      </c>
      <c r="P446" s="79">
        <v>1091.664</v>
      </c>
      <c r="Q446" s="77"/>
      <c r="R446" s="77"/>
      <c r="S446" s="77"/>
      <c r="T446" s="77"/>
      <c r="U446" s="77"/>
      <c r="V446" s="87"/>
      <c r="W446" s="87"/>
      <c r="X446" s="87"/>
      <c r="Y446" s="77"/>
      <c r="Z446" s="88"/>
      <c r="AA446" s="35"/>
      <c r="AB446" s="35"/>
    </row>
    <row r="447" spans="1:28" x14ac:dyDescent="0.25">
      <c r="A447" s="68" t="str">
        <f t="shared" si="21"/>
        <v>544586</v>
      </c>
      <c r="B447" s="10">
        <f t="shared" si="22"/>
        <v>90.393410000000003</v>
      </c>
      <c r="C447" s="77" t="s">
        <v>5102</v>
      </c>
      <c r="D447" s="191" t="str">
        <f t="shared" si="20"/>
        <v>StrongLumio LED pásek COB 24V 8W/m (320 LED/m) 5mm, bílá studená</v>
      </c>
      <c r="E447" s="77" t="s">
        <v>604</v>
      </c>
      <c r="F447" s="77" t="s">
        <v>605</v>
      </c>
      <c r="G447" s="77" t="s">
        <v>606</v>
      </c>
      <c r="H447" s="77" t="s">
        <v>607</v>
      </c>
      <c r="I447" s="77" t="s">
        <v>992</v>
      </c>
      <c r="J447" s="90">
        <v>50</v>
      </c>
      <c r="K447" s="91">
        <v>1</v>
      </c>
      <c r="L447" s="77" t="s">
        <v>227</v>
      </c>
      <c r="M447" s="78">
        <v>90.393410000000003</v>
      </c>
      <c r="N447" s="79">
        <v>3.7659799999999999</v>
      </c>
      <c r="O447" s="79">
        <v>11.77702</v>
      </c>
      <c r="P447" s="79">
        <v>1091.664</v>
      </c>
      <c r="Q447" s="77"/>
      <c r="R447" s="77"/>
      <c r="S447" s="77"/>
      <c r="T447" s="77"/>
      <c r="U447" s="77"/>
      <c r="V447" s="87"/>
      <c r="W447" s="87"/>
      <c r="X447" s="87"/>
      <c r="Y447" s="77"/>
      <c r="Z447" s="88"/>
      <c r="AA447" s="35"/>
      <c r="AB447" s="35"/>
    </row>
    <row r="448" spans="1:28" x14ac:dyDescent="0.25">
      <c r="A448" s="68" t="str">
        <f t="shared" si="21"/>
        <v>544584</v>
      </c>
      <c r="B448" s="10">
        <f t="shared" si="22"/>
        <v>90.393410000000003</v>
      </c>
      <c r="C448" s="77" t="s">
        <v>5103</v>
      </c>
      <c r="D448" s="191" t="str">
        <f t="shared" si="20"/>
        <v>StrongLumio LED pásek COB 24V 8W/m (320 LED/m) 5mm, bílá teplá</v>
      </c>
      <c r="E448" s="77" t="s">
        <v>555</v>
      </c>
      <c r="F448" s="77" t="s">
        <v>556</v>
      </c>
      <c r="G448" s="77" t="s">
        <v>557</v>
      </c>
      <c r="H448" s="77" t="s">
        <v>558</v>
      </c>
      <c r="I448" s="77" t="s">
        <v>992</v>
      </c>
      <c r="J448" s="90">
        <v>50</v>
      </c>
      <c r="K448" s="91">
        <v>1</v>
      </c>
      <c r="L448" s="77" t="s">
        <v>227</v>
      </c>
      <c r="M448" s="78">
        <v>90.393410000000003</v>
      </c>
      <c r="N448" s="79">
        <v>3.7659799999999999</v>
      </c>
      <c r="O448" s="79">
        <v>11.77702</v>
      </c>
      <c r="P448" s="79">
        <v>1091.664</v>
      </c>
      <c r="Q448" s="77"/>
      <c r="R448" s="77"/>
      <c r="S448" s="77"/>
      <c r="T448" s="77"/>
      <c r="U448" s="77"/>
      <c r="V448" s="87"/>
      <c r="W448" s="87"/>
      <c r="X448" s="87"/>
      <c r="Y448" s="77"/>
      <c r="Z448" s="88"/>
      <c r="AA448" s="35"/>
      <c r="AB448" s="35"/>
    </row>
    <row r="449" spans="1:28" x14ac:dyDescent="0.25">
      <c r="A449" s="68" t="str">
        <f t="shared" si="21"/>
        <v>544564</v>
      </c>
      <c r="B449" s="10">
        <f t="shared" si="22"/>
        <v>245.67840000000001</v>
      </c>
      <c r="C449" s="77" t="s">
        <v>5104</v>
      </c>
      <c r="D449" s="191" t="str">
        <f t="shared" si="20"/>
        <v>StrongLumio LED pásek digitální COB 24V 12W/m (360 LED/m) 10mm, bílá neutrální</v>
      </c>
      <c r="E449" s="77" t="s">
        <v>602</v>
      </c>
      <c r="F449" s="77" t="s">
        <v>603</v>
      </c>
      <c r="G449" s="77" t="s">
        <v>6452</v>
      </c>
      <c r="H449" s="77" t="s">
        <v>6451</v>
      </c>
      <c r="I449" s="77" t="s">
        <v>992</v>
      </c>
      <c r="J449" s="90">
        <v>5</v>
      </c>
      <c r="K449" s="91">
        <v>5</v>
      </c>
      <c r="L449" s="77" t="s">
        <v>227</v>
      </c>
      <c r="M449" s="78">
        <v>245.67840000000001</v>
      </c>
      <c r="N449" s="79">
        <v>10.193619999999999</v>
      </c>
      <c r="O449" s="79">
        <v>27.699259999999999</v>
      </c>
      <c r="P449" s="79">
        <v>3160.08</v>
      </c>
      <c r="Q449" s="77"/>
      <c r="R449" s="77"/>
      <c r="S449" s="77"/>
      <c r="T449" s="77"/>
      <c r="U449" s="77"/>
      <c r="V449" s="87"/>
      <c r="W449" s="87"/>
      <c r="X449" s="87"/>
      <c r="Y449" s="77"/>
      <c r="Z449" s="88"/>
      <c r="AA449" s="35"/>
      <c r="AB449" s="35"/>
    </row>
    <row r="450" spans="1:28" x14ac:dyDescent="0.25">
      <c r="A450" s="68" t="str">
        <f t="shared" si="21"/>
        <v>544595</v>
      </c>
      <c r="B450" s="10">
        <f t="shared" si="22"/>
        <v>167.50800000000001</v>
      </c>
      <c r="C450" s="77" t="s">
        <v>5105</v>
      </c>
      <c r="D450" s="191" t="str">
        <f t="shared" si="20"/>
        <v>StrongLumio LED pásek free cut COB 12V 12W/m (528 LED/m) 8mm, bílá neutrální</v>
      </c>
      <c r="E450" s="77" t="s">
        <v>530</v>
      </c>
      <c r="F450" s="77" t="s">
        <v>531</v>
      </c>
      <c r="G450" s="77" t="s">
        <v>532</v>
      </c>
      <c r="H450" s="77" t="s">
        <v>533</v>
      </c>
      <c r="I450" s="77" t="s">
        <v>992</v>
      </c>
      <c r="J450" s="90">
        <v>50</v>
      </c>
      <c r="K450" s="91">
        <v>1</v>
      </c>
      <c r="L450" s="77" t="s">
        <v>227</v>
      </c>
      <c r="M450" s="78">
        <v>167.50800000000001</v>
      </c>
      <c r="N450" s="79">
        <v>6.9502199999999998</v>
      </c>
      <c r="O450" s="79">
        <v>18.885850000000001</v>
      </c>
      <c r="P450" s="79">
        <v>2154.6</v>
      </c>
      <c r="Q450" s="77"/>
      <c r="R450" s="77"/>
      <c r="S450" s="77"/>
      <c r="T450" s="77"/>
      <c r="U450" s="77"/>
      <c r="V450" s="87"/>
      <c r="W450" s="87"/>
      <c r="X450" s="87"/>
      <c r="Y450" s="77"/>
      <c r="Z450" s="88"/>
      <c r="AA450" s="35"/>
      <c r="AB450" s="35"/>
    </row>
    <row r="451" spans="1:28" x14ac:dyDescent="0.25">
      <c r="A451" s="68" t="str">
        <f t="shared" si="21"/>
        <v>544596</v>
      </c>
      <c r="B451" s="10">
        <f t="shared" si="22"/>
        <v>167.50800000000001</v>
      </c>
      <c r="C451" s="77" t="s">
        <v>5106</v>
      </c>
      <c r="D451" s="191" t="str">
        <f t="shared" ref="D451:D514" si="23">IF($B$1=1,E451,IF($B$1=2,F451,IF($B$1=3,G451,IF($B$1=4,H451))))</f>
        <v>StrongLumio LED pásek free cut COB 12V 12W/m (528 LED/m) 8mm, bílá studená</v>
      </c>
      <c r="E451" s="77" t="s">
        <v>550</v>
      </c>
      <c r="F451" s="77" t="s">
        <v>551</v>
      </c>
      <c r="G451" s="77" t="s">
        <v>552</v>
      </c>
      <c r="H451" s="77" t="s">
        <v>553</v>
      </c>
      <c r="I451" s="77" t="s">
        <v>992</v>
      </c>
      <c r="J451" s="90">
        <v>50</v>
      </c>
      <c r="K451" s="91">
        <v>1</v>
      </c>
      <c r="L451" s="77" t="s">
        <v>227</v>
      </c>
      <c r="M451" s="78">
        <v>167.50800000000001</v>
      </c>
      <c r="N451" s="79">
        <v>6.9502199999999998</v>
      </c>
      <c r="O451" s="79">
        <v>18.885850000000001</v>
      </c>
      <c r="P451" s="79">
        <v>2154.6</v>
      </c>
      <c r="Q451" s="77"/>
      <c r="R451" s="77"/>
      <c r="S451" s="77"/>
      <c r="T451" s="77"/>
      <c r="U451" s="77"/>
      <c r="V451" s="87"/>
      <c r="W451" s="87"/>
      <c r="X451" s="87"/>
      <c r="Y451" s="77"/>
      <c r="Z451" s="88"/>
      <c r="AA451" s="35"/>
      <c r="AB451" s="35"/>
    </row>
    <row r="452" spans="1:28" x14ac:dyDescent="0.25">
      <c r="A452" s="68" t="str">
        <f t="shared" si="21"/>
        <v>544594</v>
      </c>
      <c r="B452" s="10">
        <f t="shared" si="22"/>
        <v>167.50800000000001</v>
      </c>
      <c r="C452" s="77" t="s">
        <v>5107</v>
      </c>
      <c r="D452" s="191" t="str">
        <f t="shared" si="23"/>
        <v>StrongLumio LED pásek free cut COB 12V 12W/m (528 LED/m) 8mm, bílá teplá</v>
      </c>
      <c r="E452" s="77" t="s">
        <v>540</v>
      </c>
      <c r="F452" s="77" t="s">
        <v>541</v>
      </c>
      <c r="G452" s="77" t="s">
        <v>542</v>
      </c>
      <c r="H452" s="77" t="s">
        <v>543</v>
      </c>
      <c r="I452" s="77" t="s">
        <v>992</v>
      </c>
      <c r="J452" s="90">
        <v>50</v>
      </c>
      <c r="K452" s="91">
        <v>1</v>
      </c>
      <c r="L452" s="77" t="s">
        <v>227</v>
      </c>
      <c r="M452" s="78">
        <v>167.50800000000001</v>
      </c>
      <c r="N452" s="79">
        <v>6.9502199999999998</v>
      </c>
      <c r="O452" s="79">
        <v>18.885850000000001</v>
      </c>
      <c r="P452" s="79">
        <v>2154.6</v>
      </c>
      <c r="Q452" s="77"/>
      <c r="R452" s="77"/>
      <c r="S452" s="77"/>
      <c r="T452" s="77"/>
      <c r="U452" s="77"/>
      <c r="V452" s="87"/>
      <c r="W452" s="87"/>
      <c r="X452" s="87"/>
      <c r="Y452" s="77"/>
      <c r="Z452" s="88"/>
      <c r="AA452" s="35"/>
      <c r="AB452" s="35"/>
    </row>
    <row r="453" spans="1:28" x14ac:dyDescent="0.25">
      <c r="A453" s="68" t="str">
        <f t="shared" si="21"/>
        <v>544592</v>
      </c>
      <c r="B453" s="10">
        <f t="shared" si="22"/>
        <v>167.50800000000001</v>
      </c>
      <c r="C453" s="77" t="s">
        <v>5108</v>
      </c>
      <c r="D453" s="191" t="str">
        <f t="shared" si="23"/>
        <v>StrongLumio LED pásek free cut COB 24V 12W/m (528 LED/m) 8mm, bílá neutrální</v>
      </c>
      <c r="E453" s="77" t="s">
        <v>582</v>
      </c>
      <c r="F453" s="77" t="s">
        <v>583</v>
      </c>
      <c r="G453" s="77" t="s">
        <v>584</v>
      </c>
      <c r="H453" s="77" t="s">
        <v>585</v>
      </c>
      <c r="I453" s="77" t="s">
        <v>992</v>
      </c>
      <c r="J453" s="90">
        <v>50</v>
      </c>
      <c r="K453" s="91">
        <v>1</v>
      </c>
      <c r="L453" s="77" t="s">
        <v>227</v>
      </c>
      <c r="M453" s="78">
        <v>167.50800000000001</v>
      </c>
      <c r="N453" s="79">
        <v>6.9502199999999998</v>
      </c>
      <c r="O453" s="79">
        <v>18.885850000000001</v>
      </c>
      <c r="P453" s="79">
        <v>2154.6</v>
      </c>
      <c r="Q453" s="77"/>
      <c r="R453" s="77"/>
      <c r="S453" s="77"/>
      <c r="T453" s="77"/>
      <c r="U453" s="77"/>
      <c r="V453" s="87"/>
      <c r="W453" s="87"/>
      <c r="X453" s="87"/>
      <c r="Y453" s="77"/>
      <c r="Z453" s="88"/>
      <c r="AA453" s="35"/>
      <c r="AB453" s="35"/>
    </row>
    <row r="454" spans="1:28" x14ac:dyDescent="0.25">
      <c r="A454" s="68" t="str">
        <f t="shared" si="21"/>
        <v>544593</v>
      </c>
      <c r="B454" s="10">
        <f t="shared" si="22"/>
        <v>167.50800000000001</v>
      </c>
      <c r="C454" s="77" t="s">
        <v>5109</v>
      </c>
      <c r="D454" s="191" t="str">
        <f t="shared" si="23"/>
        <v>StrongLumio LED pásek free cut COB 24V 12W/m (528 LED/m) 8mm, bílá studená</v>
      </c>
      <c r="E454" s="77" t="s">
        <v>609</v>
      </c>
      <c r="F454" s="77" t="s">
        <v>610</v>
      </c>
      <c r="G454" s="77" t="s">
        <v>611</v>
      </c>
      <c r="H454" s="77" t="s">
        <v>612</v>
      </c>
      <c r="I454" s="77" t="s">
        <v>992</v>
      </c>
      <c r="J454" s="90">
        <v>50</v>
      </c>
      <c r="K454" s="91">
        <v>1</v>
      </c>
      <c r="L454" s="77" t="s">
        <v>227</v>
      </c>
      <c r="M454" s="78">
        <v>167.50800000000001</v>
      </c>
      <c r="N454" s="79">
        <v>6.9502199999999998</v>
      </c>
      <c r="O454" s="79">
        <v>18.885850000000001</v>
      </c>
      <c r="P454" s="79">
        <v>2154.6</v>
      </c>
      <c r="Q454" s="77"/>
      <c r="R454" s="77"/>
      <c r="S454" s="77"/>
      <c r="T454" s="77"/>
      <c r="U454" s="77"/>
      <c r="V454" s="87"/>
      <c r="W454" s="87"/>
      <c r="X454" s="87"/>
      <c r="Y454" s="77"/>
      <c r="Z454" s="88"/>
      <c r="AA454" s="35"/>
      <c r="AB454" s="35"/>
    </row>
    <row r="455" spans="1:28" x14ac:dyDescent="0.25">
      <c r="A455" s="68" t="str">
        <f t="shared" si="21"/>
        <v>544587</v>
      </c>
      <c r="B455" s="10">
        <f t="shared" si="22"/>
        <v>167.50800000000001</v>
      </c>
      <c r="C455" s="77" t="s">
        <v>5110</v>
      </c>
      <c r="D455" s="191" t="str">
        <f t="shared" si="23"/>
        <v>StrongLumio LED pásek free cut COB 24V 12W/m (528 LED/m) 8mm, bílá teplá</v>
      </c>
      <c r="E455" s="77" t="s">
        <v>561</v>
      </c>
      <c r="F455" s="77" t="s">
        <v>562</v>
      </c>
      <c r="G455" s="77" t="s">
        <v>563</v>
      </c>
      <c r="H455" s="77" t="s">
        <v>564</v>
      </c>
      <c r="I455" s="77" t="s">
        <v>992</v>
      </c>
      <c r="J455" s="90">
        <v>50</v>
      </c>
      <c r="K455" s="91">
        <v>1</v>
      </c>
      <c r="L455" s="77" t="s">
        <v>227</v>
      </c>
      <c r="M455" s="78">
        <v>167.50800000000001</v>
      </c>
      <c r="N455" s="79">
        <v>6.9502199999999998</v>
      </c>
      <c r="O455" s="79">
        <v>18.885850000000001</v>
      </c>
      <c r="P455" s="79">
        <v>2154.6</v>
      </c>
      <c r="Q455" s="77"/>
      <c r="R455" s="77"/>
      <c r="S455" s="77"/>
      <c r="T455" s="77"/>
      <c r="U455" s="77"/>
      <c r="V455" s="87"/>
      <c r="W455" s="87"/>
      <c r="X455" s="87"/>
      <c r="Y455" s="77"/>
      <c r="Z455" s="88"/>
      <c r="AA455" s="35"/>
      <c r="AB455" s="35"/>
    </row>
    <row r="456" spans="1:28" x14ac:dyDescent="0.25">
      <c r="A456" s="68" t="str">
        <f t="shared" si="21"/>
        <v>546649</v>
      </c>
      <c r="B456" s="10">
        <f t="shared" si="22"/>
        <v>330.36637999999999</v>
      </c>
      <c r="C456" s="77" t="s">
        <v>5111</v>
      </c>
      <c r="D456" s="191" t="str">
        <f t="shared" si="23"/>
        <v>StrongLumio LED pásek neon "T" 4x10 mm 24V 9,6W (168 LED/m) IP67 bílá teplá</v>
      </c>
      <c r="E456" s="77" t="s">
        <v>640</v>
      </c>
      <c r="F456" s="77" t="s">
        <v>6453</v>
      </c>
      <c r="G456" s="77" t="s">
        <v>6454</v>
      </c>
      <c r="H456" s="77" t="s">
        <v>643</v>
      </c>
      <c r="I456" s="77" t="s">
        <v>992</v>
      </c>
      <c r="J456" s="90">
        <v>5</v>
      </c>
      <c r="K456" s="91">
        <v>1</v>
      </c>
      <c r="L456" s="77" t="s">
        <v>227</v>
      </c>
      <c r="M456" s="78">
        <v>330.36637999999999</v>
      </c>
      <c r="N456" s="79">
        <v>13.82029</v>
      </c>
      <c r="O456" s="79">
        <v>38.653030000000001</v>
      </c>
      <c r="P456" s="79">
        <v>4409.7479999999996</v>
      </c>
      <c r="Q456" s="77"/>
      <c r="R456" s="77"/>
      <c r="S456" s="77"/>
      <c r="T456" s="77"/>
      <c r="U456" s="77"/>
      <c r="V456" s="87"/>
      <c r="W456" s="87"/>
      <c r="X456" s="87"/>
      <c r="Y456" s="77"/>
      <c r="Z456" s="88"/>
      <c r="AA456" s="35"/>
      <c r="AB456" s="35"/>
    </row>
    <row r="457" spans="1:28" x14ac:dyDescent="0.25">
      <c r="A457" s="68" t="str">
        <f t="shared" si="21"/>
        <v>524858</v>
      </c>
      <c r="B457" s="10">
        <f t="shared" si="22"/>
        <v>421.66332</v>
      </c>
      <c r="C457" s="77" t="s">
        <v>5112</v>
      </c>
      <c r="D457" s="191" t="str">
        <f t="shared" si="23"/>
        <v>StrongLumio LED pásek neon 24V 9,6W/m (120 LED/m) IP67, bílá teplá</v>
      </c>
      <c r="E457" s="77" t="s">
        <v>2127</v>
      </c>
      <c r="F457" s="77" t="s">
        <v>2128</v>
      </c>
      <c r="G457" s="77" t="s">
        <v>2130</v>
      </c>
      <c r="H457" s="77" t="s">
        <v>2129</v>
      </c>
      <c r="I457" s="77" t="s">
        <v>992</v>
      </c>
      <c r="J457" s="90">
        <v>3</v>
      </c>
      <c r="K457" s="91">
        <v>300</v>
      </c>
      <c r="L457" s="77" t="s">
        <v>6565</v>
      </c>
      <c r="M457" s="78">
        <v>421.66332</v>
      </c>
      <c r="N457" s="79">
        <v>17.180009999999999</v>
      </c>
      <c r="O457" s="79">
        <v>42.395940000000003</v>
      </c>
      <c r="P457" s="79">
        <v>5534.4039000000002</v>
      </c>
      <c r="Q457" s="77"/>
      <c r="R457" s="77"/>
      <c r="S457" s="77"/>
      <c r="T457" s="77"/>
      <c r="U457" s="77"/>
      <c r="V457" s="87"/>
      <c r="W457" s="87"/>
      <c r="X457" s="87"/>
      <c r="Y457" s="77"/>
      <c r="Z457" s="88"/>
      <c r="AA457" s="35"/>
      <c r="AB457" s="35"/>
    </row>
    <row r="458" spans="1:28" x14ac:dyDescent="0.25">
      <c r="A458" s="68" t="str">
        <f t="shared" si="21"/>
        <v>546648</v>
      </c>
      <c r="B458" s="10">
        <f t="shared" si="22"/>
        <v>297.00691</v>
      </c>
      <c r="C458" s="77" t="s">
        <v>5113</v>
      </c>
      <c r="D458" s="191" t="str">
        <f t="shared" si="23"/>
        <v>StrongLumio LED pásek neon 4x10 mm 24V 9,6W (168 LED/m) IP67 bílá teplá</v>
      </c>
      <c r="E458" s="77" t="s">
        <v>633</v>
      </c>
      <c r="F458" s="77" t="s">
        <v>2131</v>
      </c>
      <c r="G458" s="77" t="s">
        <v>6455</v>
      </c>
      <c r="H458" s="77" t="s">
        <v>636</v>
      </c>
      <c r="I458" s="77" t="s">
        <v>992</v>
      </c>
      <c r="J458" s="90">
        <v>5</v>
      </c>
      <c r="K458" s="91">
        <v>1</v>
      </c>
      <c r="L458" s="77" t="s">
        <v>227</v>
      </c>
      <c r="M458" s="78">
        <v>297.00691</v>
      </c>
      <c r="N458" s="79">
        <v>12.424759999999999</v>
      </c>
      <c r="O458" s="79">
        <v>34.749960000000002</v>
      </c>
      <c r="P458" s="79">
        <v>3964.4639999999999</v>
      </c>
      <c r="Q458" s="77"/>
      <c r="R458" s="77"/>
      <c r="S458" s="77"/>
      <c r="T458" s="77"/>
      <c r="U458" s="77"/>
      <c r="V458" s="87"/>
      <c r="W458" s="87"/>
      <c r="X458" s="87"/>
      <c r="Y458" s="77"/>
      <c r="Z458" s="88"/>
      <c r="AA458" s="35"/>
      <c r="AB458" s="35"/>
    </row>
    <row r="459" spans="1:28" x14ac:dyDescent="0.25">
      <c r="A459" s="68" t="str">
        <f t="shared" si="21"/>
        <v>405177</v>
      </c>
      <c r="B459" s="10">
        <f t="shared" si="22"/>
        <v>421.66332</v>
      </c>
      <c r="C459" s="77" t="s">
        <v>5114</v>
      </c>
      <c r="D459" s="191" t="str">
        <f t="shared" si="23"/>
        <v>StrongLumio LED pásek neon 4x10mm 24V 9,6W/m (120 LED/m) IP67, bílá teplá</v>
      </c>
      <c r="E459" s="77" t="s">
        <v>2132</v>
      </c>
      <c r="F459" s="77" t="s">
        <v>2133</v>
      </c>
      <c r="G459" s="77" t="s">
        <v>2135</v>
      </c>
      <c r="H459" s="77" t="s">
        <v>2134</v>
      </c>
      <c r="I459" s="77" t="s">
        <v>992</v>
      </c>
      <c r="J459" s="90">
        <v>5</v>
      </c>
      <c r="K459" s="91">
        <v>1</v>
      </c>
      <c r="L459" s="77" t="s">
        <v>160</v>
      </c>
      <c r="M459" s="78">
        <v>421.66332</v>
      </c>
      <c r="N459" s="79">
        <v>17.180009999999999</v>
      </c>
      <c r="O459" s="79">
        <v>43.463520000000003</v>
      </c>
      <c r="P459" s="79">
        <v>5534.4039000000002</v>
      </c>
      <c r="Q459" s="77"/>
      <c r="R459" s="77"/>
      <c r="S459" s="77"/>
      <c r="T459" s="77"/>
      <c r="U459" s="77"/>
      <c r="V459" s="87"/>
      <c r="W459" s="87"/>
      <c r="X459" s="87"/>
      <c r="Y459" s="77"/>
      <c r="Z459" s="88"/>
      <c r="AA459" s="35"/>
      <c r="AB459" s="35"/>
    </row>
    <row r="460" spans="1:28" x14ac:dyDescent="0.25">
      <c r="A460" s="68" t="str">
        <f t="shared" si="21"/>
        <v>546626</v>
      </c>
      <c r="B460" s="10">
        <f t="shared" si="22"/>
        <v>478.86984000000001</v>
      </c>
      <c r="C460" s="77" t="s">
        <v>5115</v>
      </c>
      <c r="D460" s="191" t="str">
        <f t="shared" si="23"/>
        <v>StrongLumio LED pásek neon 6x12 mm 24V 9,6W (168 LED/m) IP67 bílá neutrální</v>
      </c>
      <c r="E460" s="77" t="s">
        <v>762</v>
      </c>
      <c r="F460" s="77" t="s">
        <v>2136</v>
      </c>
      <c r="G460" s="77" t="s">
        <v>764</v>
      </c>
      <c r="H460" s="77" t="s">
        <v>765</v>
      </c>
      <c r="I460" s="77" t="s">
        <v>992</v>
      </c>
      <c r="J460" s="90">
        <v>5</v>
      </c>
      <c r="K460" s="91">
        <v>1</v>
      </c>
      <c r="L460" s="77" t="s">
        <v>227</v>
      </c>
      <c r="M460" s="78">
        <v>478.86984000000001</v>
      </c>
      <c r="N460" s="79">
        <v>20.032710000000002</v>
      </c>
      <c r="O460" s="79">
        <v>56.028019999999998</v>
      </c>
      <c r="P460" s="79">
        <v>6391.98</v>
      </c>
      <c r="Q460" s="77"/>
      <c r="R460" s="77"/>
      <c r="S460" s="77"/>
      <c r="T460" s="77"/>
      <c r="U460" s="77"/>
      <c r="V460" s="87"/>
      <c r="W460" s="87"/>
      <c r="X460" s="87"/>
      <c r="Y460" s="77"/>
      <c r="Z460" s="88"/>
      <c r="AA460" s="35"/>
      <c r="AB460" s="35"/>
    </row>
    <row r="461" spans="1:28" x14ac:dyDescent="0.25">
      <c r="A461" s="68" t="str">
        <f t="shared" si="21"/>
        <v>546625</v>
      </c>
      <c r="B461" s="10">
        <f t="shared" si="22"/>
        <v>478.86984000000001</v>
      </c>
      <c r="C461" s="77" t="s">
        <v>5116</v>
      </c>
      <c r="D461" s="191" t="str">
        <f t="shared" si="23"/>
        <v>StrongLumio LED pásek neon 6x12 mm 24V 9,6W (168 LED/m) IP67 bílá teplá</v>
      </c>
      <c r="E461" s="77" t="s">
        <v>645</v>
      </c>
      <c r="F461" s="77" t="s">
        <v>2137</v>
      </c>
      <c r="G461" s="77" t="s">
        <v>647</v>
      </c>
      <c r="H461" s="77" t="s">
        <v>648</v>
      </c>
      <c r="I461" s="77" t="s">
        <v>992</v>
      </c>
      <c r="J461" s="90">
        <v>5</v>
      </c>
      <c r="K461" s="91">
        <v>1</v>
      </c>
      <c r="L461" s="77" t="s">
        <v>227</v>
      </c>
      <c r="M461" s="78">
        <v>478.86984000000001</v>
      </c>
      <c r="N461" s="79">
        <v>20.032710000000002</v>
      </c>
      <c r="O461" s="79">
        <v>56.028019999999998</v>
      </c>
      <c r="P461" s="79">
        <v>6391.98</v>
      </c>
      <c r="Q461" s="77"/>
      <c r="R461" s="77"/>
      <c r="S461" s="77"/>
      <c r="T461" s="77"/>
      <c r="U461" s="77"/>
      <c r="V461" s="87"/>
      <c r="W461" s="87"/>
      <c r="X461" s="87"/>
      <c r="Y461" s="77"/>
      <c r="Z461" s="88"/>
      <c r="AA461" s="35"/>
      <c r="AB461" s="35"/>
    </row>
    <row r="462" spans="1:28" x14ac:dyDescent="0.25">
      <c r="A462" s="68" t="str">
        <f t="shared" si="21"/>
        <v>544701</v>
      </c>
      <c r="B462" s="10">
        <f t="shared" si="22"/>
        <v>282.53016000000002</v>
      </c>
      <c r="C462" s="77" t="s">
        <v>5117</v>
      </c>
      <c r="D462" s="191" t="str">
        <f t="shared" si="23"/>
        <v>StrongLumio LED pásek vysoká svítivost 24V 12W/m (160 LED/m) 8mm, bílá neutrální</v>
      </c>
      <c r="E462" s="77" t="s">
        <v>624</v>
      </c>
      <c r="F462" s="77" t="s">
        <v>625</v>
      </c>
      <c r="G462" s="77" t="s">
        <v>626</v>
      </c>
      <c r="H462" s="77" t="s">
        <v>627</v>
      </c>
      <c r="I462" s="77" t="s">
        <v>992</v>
      </c>
      <c r="J462" s="90">
        <v>50</v>
      </c>
      <c r="K462" s="91">
        <v>1</v>
      </c>
      <c r="L462" s="77" t="s">
        <v>227</v>
      </c>
      <c r="M462" s="78">
        <v>282.53016000000002</v>
      </c>
      <c r="N462" s="79">
        <v>11.7227</v>
      </c>
      <c r="O462" s="79">
        <v>31.85416</v>
      </c>
      <c r="P462" s="79">
        <v>3634.0920000000001</v>
      </c>
      <c r="Q462" s="77"/>
      <c r="R462" s="77"/>
      <c r="S462" s="77"/>
      <c r="T462" s="77"/>
      <c r="U462" s="77"/>
      <c r="V462" s="87"/>
      <c r="W462" s="87"/>
      <c r="X462" s="87"/>
      <c r="Y462" s="77"/>
      <c r="Z462" s="88"/>
      <c r="AA462" s="35"/>
      <c r="AB462" s="35"/>
    </row>
    <row r="463" spans="1:28" x14ac:dyDescent="0.25">
      <c r="A463" s="68" t="str">
        <f t="shared" si="21"/>
        <v>544702</v>
      </c>
      <c r="B463" s="10">
        <f t="shared" si="22"/>
        <v>282.53016000000002</v>
      </c>
      <c r="C463" s="77" t="s">
        <v>5118</v>
      </c>
      <c r="D463" s="191" t="str">
        <f t="shared" si="23"/>
        <v>StrongLumio LED pásek vysoká svítivost 24V 12W/m (160 LED/m) 8mm, bílá studená</v>
      </c>
      <c r="E463" s="77" t="s">
        <v>758</v>
      </c>
      <c r="F463" s="77" t="s">
        <v>759</v>
      </c>
      <c r="G463" s="77" t="s">
        <v>760</v>
      </c>
      <c r="H463" s="77" t="s">
        <v>6456</v>
      </c>
      <c r="I463" s="77" t="s">
        <v>992</v>
      </c>
      <c r="J463" s="90">
        <v>50</v>
      </c>
      <c r="K463" s="91">
        <v>1</v>
      </c>
      <c r="L463" s="77" t="s">
        <v>227</v>
      </c>
      <c r="M463" s="78">
        <v>282.53016000000002</v>
      </c>
      <c r="N463" s="79">
        <v>11.7227</v>
      </c>
      <c r="O463" s="79">
        <v>31.85416</v>
      </c>
      <c r="P463" s="79">
        <v>3634.0920000000001</v>
      </c>
      <c r="Q463" s="77"/>
      <c r="R463" s="77"/>
      <c r="S463" s="77"/>
      <c r="T463" s="77"/>
      <c r="U463" s="77"/>
      <c r="V463" s="87"/>
      <c r="W463" s="87"/>
      <c r="X463" s="87"/>
      <c r="Y463" s="77"/>
      <c r="Z463" s="88"/>
      <c r="AA463" s="35"/>
      <c r="AB463" s="35"/>
    </row>
    <row r="464" spans="1:28" x14ac:dyDescent="0.25">
      <c r="A464" s="68" t="str">
        <f t="shared" si="21"/>
        <v>544598</v>
      </c>
      <c r="B464" s="10">
        <f t="shared" si="22"/>
        <v>282.53016000000002</v>
      </c>
      <c r="C464" s="77" t="s">
        <v>5119</v>
      </c>
      <c r="D464" s="191" t="str">
        <f t="shared" si="23"/>
        <v>StrongLumio LED pásek vysoká svítivost 24V 12W/m (160 LED/m) 8mm, bílá teplá</v>
      </c>
      <c r="E464" s="77" t="s">
        <v>754</v>
      </c>
      <c r="F464" s="77" t="s">
        <v>755</v>
      </c>
      <c r="G464" s="77" t="s">
        <v>756</v>
      </c>
      <c r="H464" s="77" t="s">
        <v>6457</v>
      </c>
      <c r="I464" s="77" t="s">
        <v>992</v>
      </c>
      <c r="J464" s="90">
        <v>50</v>
      </c>
      <c r="K464" s="91">
        <v>1</v>
      </c>
      <c r="L464" s="77" t="s">
        <v>227</v>
      </c>
      <c r="M464" s="78">
        <v>282.53016000000002</v>
      </c>
      <c r="N464" s="79">
        <v>11.7227</v>
      </c>
      <c r="O464" s="79">
        <v>31.85416</v>
      </c>
      <c r="P464" s="79">
        <v>3634.0920000000001</v>
      </c>
      <c r="Q464" s="77"/>
      <c r="R464" s="77"/>
      <c r="S464" s="77"/>
      <c r="T464" s="77"/>
      <c r="U464" s="77"/>
      <c r="V464" s="87"/>
      <c r="W464" s="87"/>
      <c r="X464" s="87"/>
      <c r="Y464" s="77"/>
      <c r="Z464" s="88"/>
      <c r="AA464" s="35"/>
      <c r="AB464" s="35"/>
    </row>
    <row r="465" spans="1:28" x14ac:dyDescent="0.25">
      <c r="A465" s="68" t="str">
        <f t="shared" si="21"/>
        <v>544704</v>
      </c>
      <c r="B465" s="10">
        <f t="shared" si="22"/>
        <v>398.66904</v>
      </c>
      <c r="C465" s="77" t="s">
        <v>5120</v>
      </c>
      <c r="D465" s="191" t="str">
        <f t="shared" si="23"/>
        <v>StrongLumio LED pásek vysoká svítivost 24V 20W/m(240 LED/m) 10mm, bílá neutrální</v>
      </c>
      <c r="E465" s="77" t="s">
        <v>629</v>
      </c>
      <c r="F465" s="77" t="s">
        <v>2138</v>
      </c>
      <c r="G465" s="77" t="s">
        <v>631</v>
      </c>
      <c r="H465" s="77" t="s">
        <v>6458</v>
      </c>
      <c r="I465" s="77" t="s">
        <v>992</v>
      </c>
      <c r="J465" s="90">
        <v>50</v>
      </c>
      <c r="K465" s="91">
        <v>1</v>
      </c>
      <c r="L465" s="77" t="s">
        <v>227</v>
      </c>
      <c r="M465" s="78">
        <v>398.66904</v>
      </c>
      <c r="N465" s="79">
        <v>16.541460000000001</v>
      </c>
      <c r="O465" s="79">
        <v>44.948329999999999</v>
      </c>
      <c r="P465" s="79">
        <v>5127.9480000000003</v>
      </c>
      <c r="Q465" s="77"/>
      <c r="R465" s="77"/>
      <c r="S465" s="77"/>
      <c r="T465" s="77"/>
      <c r="U465" s="77"/>
      <c r="V465" s="87"/>
      <c r="W465" s="87"/>
      <c r="X465" s="87"/>
      <c r="Y465" s="77"/>
      <c r="Z465" s="88"/>
      <c r="AA465" s="35"/>
      <c r="AB465" s="35"/>
    </row>
    <row r="466" spans="1:28" x14ac:dyDescent="0.25">
      <c r="A466" s="68" t="str">
        <f t="shared" si="21"/>
        <v>531292</v>
      </c>
      <c r="B466" s="10">
        <f t="shared" si="22"/>
        <v>426.72</v>
      </c>
      <c r="C466" s="77" t="s">
        <v>5121</v>
      </c>
      <c r="D466" s="191" t="str">
        <f t="shared" si="23"/>
        <v>StrongLumio LED pružinový vypínač 12/24V do profilů 90W/180W žlutá kontrolka</v>
      </c>
      <c r="E466" s="77" t="s">
        <v>2139</v>
      </c>
      <c r="F466" s="77" t="s">
        <v>2140</v>
      </c>
      <c r="G466" s="77" t="s">
        <v>2141</v>
      </c>
      <c r="H466" s="77" t="s">
        <v>794</v>
      </c>
      <c r="I466" s="77" t="s">
        <v>795</v>
      </c>
      <c r="J466" s="90">
        <v>10</v>
      </c>
      <c r="K466" s="91">
        <v>1</v>
      </c>
      <c r="L466" s="77" t="s">
        <v>6565</v>
      </c>
      <c r="M466" s="78">
        <v>426.72</v>
      </c>
      <c r="N466" s="79">
        <v>18.269279999999998</v>
      </c>
      <c r="O466" s="79">
        <v>63.332590000000003</v>
      </c>
      <c r="P466" s="79">
        <v>6299.4886399999996</v>
      </c>
      <c r="Q466" s="77"/>
      <c r="R466" s="77"/>
      <c r="S466" s="77"/>
      <c r="T466" s="77"/>
      <c r="U466" s="77"/>
      <c r="V466" s="87"/>
      <c r="W466" s="87"/>
      <c r="X466" s="87"/>
      <c r="Y466" s="77"/>
      <c r="Z466" s="88"/>
      <c r="AA466" s="35"/>
      <c r="AB466" s="35"/>
    </row>
    <row r="467" spans="1:28" x14ac:dyDescent="0.25">
      <c r="A467" s="68" t="str">
        <f t="shared" si="21"/>
        <v>342540</v>
      </c>
      <c r="B467" s="10">
        <f t="shared" si="22"/>
        <v>9.0908999999999995</v>
      </c>
      <c r="C467" s="77" t="s">
        <v>5122</v>
      </c>
      <c r="D467" s="191" t="str">
        <f t="shared" si="23"/>
        <v>StrongLumio LED rohový spoj pájecí 10mm</v>
      </c>
      <c r="E467" s="77" t="s">
        <v>2142</v>
      </c>
      <c r="F467" s="77" t="s">
        <v>2143</v>
      </c>
      <c r="G467" s="77" t="s">
        <v>2145</v>
      </c>
      <c r="H467" s="77" t="s">
        <v>2144</v>
      </c>
      <c r="I467" s="77" t="s">
        <v>795</v>
      </c>
      <c r="J467" s="90">
        <v>1</v>
      </c>
      <c r="K467" s="91">
        <v>1</v>
      </c>
      <c r="L467" s="77" t="s">
        <v>227</v>
      </c>
      <c r="M467" s="78">
        <v>9.0908999999999995</v>
      </c>
      <c r="N467" s="79">
        <v>0.40600000000000003</v>
      </c>
      <c r="O467" s="79">
        <v>1.1749700000000001</v>
      </c>
      <c r="P467" s="79">
        <v>140.79884999999999</v>
      </c>
      <c r="Q467" s="77"/>
      <c r="R467" s="77"/>
      <c r="S467" s="77"/>
      <c r="T467" s="77"/>
      <c r="U467" s="77"/>
      <c r="V467" s="87"/>
      <c r="W467" s="87"/>
      <c r="X467" s="87"/>
      <c r="Y467" s="77"/>
      <c r="Z467" s="88"/>
      <c r="AA467" s="35"/>
      <c r="AB467" s="35"/>
    </row>
    <row r="468" spans="1:28" x14ac:dyDescent="0.25">
      <c r="A468" s="68" t="str">
        <f t="shared" si="21"/>
        <v>529953</v>
      </c>
      <c r="B468" s="10">
        <f t="shared" si="22"/>
        <v>16.665600000000001</v>
      </c>
      <c r="C468" s="77" t="s">
        <v>5123</v>
      </c>
      <c r="D468" s="191" t="str">
        <f t="shared" si="23"/>
        <v>StrongLumio LED rohový spoj pájecí 10mm RGB</v>
      </c>
      <c r="E468" s="77" t="s">
        <v>2146</v>
      </c>
      <c r="F468" s="77" t="s">
        <v>2146</v>
      </c>
      <c r="G468" s="77" t="s">
        <v>2148</v>
      </c>
      <c r="H468" s="77" t="s">
        <v>2147</v>
      </c>
      <c r="I468" s="77" t="s">
        <v>795</v>
      </c>
      <c r="J468" s="90">
        <v>1</v>
      </c>
      <c r="K468" s="91">
        <v>1</v>
      </c>
      <c r="L468" s="77" t="s">
        <v>6565</v>
      </c>
      <c r="M468" s="78">
        <v>16.665600000000001</v>
      </c>
      <c r="N468" s="79">
        <v>0.71352000000000004</v>
      </c>
      <c r="O468" s="79">
        <v>2.4734699999999998</v>
      </c>
      <c r="P468" s="79">
        <v>246.02728999999999</v>
      </c>
      <c r="Q468" s="77"/>
      <c r="R468" s="77"/>
      <c r="S468" s="77"/>
      <c r="T468" s="77"/>
      <c r="U468" s="77"/>
      <c r="V468" s="87"/>
      <c r="W468" s="87"/>
      <c r="X468" s="87"/>
      <c r="Y468" s="77"/>
      <c r="Z468" s="88"/>
      <c r="AA468" s="35"/>
      <c r="AB468" s="35"/>
    </row>
    <row r="469" spans="1:28" x14ac:dyDescent="0.25">
      <c r="A469" s="68" t="str">
        <f t="shared" si="21"/>
        <v>342539</v>
      </c>
      <c r="B469" s="10">
        <f t="shared" si="22"/>
        <v>8.1818100000000005</v>
      </c>
      <c r="C469" s="77" t="s">
        <v>5124</v>
      </c>
      <c r="D469" s="191" t="str">
        <f t="shared" si="23"/>
        <v>StrongLumio LED rohový spoj pájecí 8mm</v>
      </c>
      <c r="E469" s="77" t="s">
        <v>2149</v>
      </c>
      <c r="F469" s="77" t="s">
        <v>2150</v>
      </c>
      <c r="G469" s="77" t="s">
        <v>2152</v>
      </c>
      <c r="H469" s="77" t="s">
        <v>2151</v>
      </c>
      <c r="I469" s="77" t="s">
        <v>795</v>
      </c>
      <c r="J469" s="90">
        <v>1</v>
      </c>
      <c r="K469" s="91">
        <v>1</v>
      </c>
      <c r="L469" s="77" t="s">
        <v>227</v>
      </c>
      <c r="M469" s="78">
        <v>8.1818100000000005</v>
      </c>
      <c r="N469" s="79">
        <v>0.36541000000000001</v>
      </c>
      <c r="O469" s="79">
        <v>1.20414</v>
      </c>
      <c r="P469" s="79">
        <v>126.71899000000001</v>
      </c>
      <c r="Q469" s="77"/>
      <c r="R469" s="77"/>
      <c r="S469" s="77"/>
      <c r="T469" s="77"/>
      <c r="U469" s="77"/>
      <c r="V469" s="87"/>
      <c r="W469" s="87"/>
      <c r="X469" s="87"/>
      <c r="Y469" s="77"/>
      <c r="Z469" s="88"/>
      <c r="AA469" s="35"/>
      <c r="AB469" s="35"/>
    </row>
    <row r="470" spans="1:28" x14ac:dyDescent="0.25">
      <c r="A470" s="68" t="str">
        <f t="shared" si="21"/>
        <v>546600</v>
      </c>
      <c r="B470" s="10">
        <f t="shared" si="22"/>
        <v>441.76560000000001</v>
      </c>
      <c r="C470" s="77" t="s">
        <v>5125</v>
      </c>
      <c r="D470" s="191" t="str">
        <f t="shared" si="23"/>
        <v>StrongLumio LED svítidlo s pohybovým senzorem, bílá</v>
      </c>
      <c r="E470" s="77" t="s">
        <v>2153</v>
      </c>
      <c r="F470" s="77" t="s">
        <v>2154</v>
      </c>
      <c r="G470" s="77" t="s">
        <v>2156</v>
      </c>
      <c r="H470" s="77" t="s">
        <v>2155</v>
      </c>
      <c r="I470" s="77" t="s">
        <v>795</v>
      </c>
      <c r="J470" s="90">
        <v>1</v>
      </c>
      <c r="K470" s="91">
        <v>1</v>
      </c>
      <c r="L470" s="77" t="s">
        <v>227</v>
      </c>
      <c r="M470" s="78">
        <v>441.76560000000001</v>
      </c>
      <c r="N470" s="79">
        <v>16.66198</v>
      </c>
      <c r="O470" s="79">
        <v>65.38955</v>
      </c>
      <c r="P470" s="79">
        <v>4947.4512599999998</v>
      </c>
      <c r="Q470" s="77"/>
      <c r="R470" s="77"/>
      <c r="S470" s="77"/>
      <c r="T470" s="77"/>
      <c r="U470" s="77"/>
      <c r="V470" s="87"/>
      <c r="W470" s="87"/>
      <c r="X470" s="87"/>
      <c r="Y470" s="77"/>
      <c r="Z470" s="88"/>
      <c r="AA470" s="35"/>
      <c r="AB470" s="35"/>
    </row>
    <row r="471" spans="1:28" x14ac:dyDescent="0.25">
      <c r="A471" s="68" t="str">
        <f t="shared" si="21"/>
        <v>546599</v>
      </c>
      <c r="B471" s="10">
        <f t="shared" si="22"/>
        <v>441.76560000000001</v>
      </c>
      <c r="C471" s="77" t="s">
        <v>5126</v>
      </c>
      <c r="D471" s="191" t="str">
        <f t="shared" si="23"/>
        <v>StrongLumio LED svítidlo s pohybovým senzorem, černá</v>
      </c>
      <c r="E471" s="77" t="s">
        <v>2157</v>
      </c>
      <c r="F471" s="77" t="s">
        <v>2158</v>
      </c>
      <c r="G471" s="77" t="s">
        <v>2160</v>
      </c>
      <c r="H471" s="77" t="s">
        <v>2159</v>
      </c>
      <c r="I471" s="77" t="s">
        <v>795</v>
      </c>
      <c r="J471" s="90">
        <v>1</v>
      </c>
      <c r="K471" s="91">
        <v>1</v>
      </c>
      <c r="L471" s="77" t="s">
        <v>227</v>
      </c>
      <c r="M471" s="78">
        <v>441.76560000000001</v>
      </c>
      <c r="N471" s="79">
        <v>16.66198</v>
      </c>
      <c r="O471" s="79">
        <v>65.38955</v>
      </c>
      <c r="P471" s="79">
        <v>4947.4512599999998</v>
      </c>
      <c r="Q471" s="77"/>
      <c r="R471" s="77"/>
      <c r="S471" s="77"/>
      <c r="T471" s="77"/>
      <c r="U471" s="77"/>
      <c r="V471" s="87"/>
      <c r="W471" s="87"/>
      <c r="X471" s="87"/>
      <c r="Y471" s="77"/>
      <c r="Z471" s="88"/>
      <c r="AA471" s="35"/>
      <c r="AB471" s="35"/>
    </row>
    <row r="472" spans="1:28" x14ac:dyDescent="0.25">
      <c r="A472" s="68" t="str">
        <f t="shared" si="21"/>
        <v>392223</v>
      </c>
      <c r="B472" s="10">
        <f t="shared" si="22"/>
        <v>376.32</v>
      </c>
      <c r="C472" s="77" t="s">
        <v>5127</v>
      </c>
      <c r="D472" s="191" t="str">
        <f t="shared" si="23"/>
        <v>StrongLumio LED vypínač/stmívač do profilu 12/24V, bez LED kontrolky</v>
      </c>
      <c r="E472" s="77" t="s">
        <v>2161</v>
      </c>
      <c r="F472" s="77" t="s">
        <v>2162</v>
      </c>
      <c r="G472" s="77" t="s">
        <v>2164</v>
      </c>
      <c r="H472" s="77" t="s">
        <v>2163</v>
      </c>
      <c r="I472" s="77" t="s">
        <v>795</v>
      </c>
      <c r="J472" s="90">
        <v>10</v>
      </c>
      <c r="K472" s="91">
        <v>1</v>
      </c>
      <c r="L472" s="77" t="s">
        <v>276</v>
      </c>
      <c r="M472" s="78">
        <v>376.32</v>
      </c>
      <c r="N472" s="79">
        <v>16.111470000000001</v>
      </c>
      <c r="O472" s="79">
        <v>53.135309999999997</v>
      </c>
      <c r="P472" s="79">
        <v>4910.625</v>
      </c>
      <c r="Q472" s="77"/>
      <c r="R472" s="77"/>
      <c r="S472" s="77"/>
      <c r="T472" s="77"/>
      <c r="U472" s="77"/>
      <c r="V472" s="87"/>
      <c r="W472" s="87"/>
      <c r="X472" s="87"/>
      <c r="Y472" s="77"/>
      <c r="Z472" s="88"/>
      <c r="AA472" s="35"/>
      <c r="AB472" s="35"/>
    </row>
    <row r="473" spans="1:28" x14ac:dyDescent="0.25">
      <c r="A473" s="68" t="str">
        <f t="shared" si="21"/>
        <v>215772</v>
      </c>
      <c r="B473" s="10">
        <f t="shared" si="22"/>
        <v>376.32</v>
      </c>
      <c r="C473" s="77" t="s">
        <v>5128</v>
      </c>
      <c r="D473" s="191" t="str">
        <f t="shared" si="23"/>
        <v>StrongLumio LED vypínač/stmívač do profilu 12/24V, modrá kontrolka</v>
      </c>
      <c r="E473" s="77" t="s">
        <v>2165</v>
      </c>
      <c r="F473" s="77" t="s">
        <v>2166</v>
      </c>
      <c r="G473" s="77" t="s">
        <v>2168</v>
      </c>
      <c r="H473" s="77" t="s">
        <v>2167</v>
      </c>
      <c r="I473" s="77" t="s">
        <v>795</v>
      </c>
      <c r="J473" s="90">
        <v>10</v>
      </c>
      <c r="K473" s="91">
        <v>1</v>
      </c>
      <c r="L473" s="77" t="s">
        <v>276</v>
      </c>
      <c r="M473" s="78">
        <v>376.32</v>
      </c>
      <c r="N473" s="79">
        <v>16.111470000000001</v>
      </c>
      <c r="O473" s="79">
        <v>53.141269999999999</v>
      </c>
      <c r="P473" s="79">
        <v>4910.625</v>
      </c>
      <c r="Q473" s="77"/>
      <c r="R473" s="77"/>
      <c r="S473" s="77"/>
      <c r="T473" s="77"/>
      <c r="U473" s="77"/>
      <c r="V473" s="87"/>
      <c r="W473" s="87"/>
      <c r="X473" s="87"/>
      <c r="Y473" s="77"/>
      <c r="Z473" s="88"/>
      <c r="AA473" s="35"/>
      <c r="AB473" s="35"/>
    </row>
    <row r="474" spans="1:28" x14ac:dyDescent="0.25">
      <c r="A474" s="68" t="str">
        <f t="shared" si="21"/>
        <v>215666</v>
      </c>
      <c r="B474" s="10">
        <f t="shared" si="22"/>
        <v>376.32</v>
      </c>
      <c r="C474" s="77" t="s">
        <v>5129</v>
      </c>
      <c r="D474" s="191" t="str">
        <f t="shared" si="23"/>
        <v>StrongLumio LED vypínač/stmívač do profilu 12/24V, žlutá kontrolka</v>
      </c>
      <c r="E474" s="77" t="s">
        <v>2169</v>
      </c>
      <c r="F474" s="77" t="s">
        <v>2170</v>
      </c>
      <c r="G474" s="77" t="s">
        <v>2172</v>
      </c>
      <c r="H474" s="77" t="s">
        <v>2171</v>
      </c>
      <c r="I474" s="77" t="s">
        <v>795</v>
      </c>
      <c r="J474" s="90">
        <v>10</v>
      </c>
      <c r="K474" s="91">
        <v>1</v>
      </c>
      <c r="L474" s="77" t="s">
        <v>227</v>
      </c>
      <c r="M474" s="78">
        <v>376.32</v>
      </c>
      <c r="N474" s="79">
        <v>16.111470000000001</v>
      </c>
      <c r="O474" s="79">
        <v>53.141269999999999</v>
      </c>
      <c r="P474" s="79">
        <v>4910.625</v>
      </c>
      <c r="Q474" s="77"/>
      <c r="R474" s="77"/>
      <c r="S474" s="77"/>
      <c r="T474" s="77"/>
      <c r="U474" s="77"/>
      <c r="V474" s="87"/>
      <c r="W474" s="87"/>
      <c r="X474" s="87"/>
      <c r="Y474" s="77"/>
      <c r="Z474" s="88"/>
      <c r="AA474" s="35"/>
      <c r="AB474" s="35"/>
    </row>
    <row r="475" spans="1:28" x14ac:dyDescent="0.25">
      <c r="A475" s="68" t="str">
        <f t="shared" si="21"/>
        <v>471803</v>
      </c>
      <c r="B475" s="10">
        <f t="shared" si="22"/>
        <v>1021.4001</v>
      </c>
      <c r="C475" s="77" t="s">
        <v>5130</v>
      </c>
      <c r="D475" s="191" t="str">
        <f t="shared" si="23"/>
        <v>StrongLumio lepící páska oboustranná 12mm super silná pro LED profily 25m</v>
      </c>
      <c r="E475" s="77" t="s">
        <v>2173</v>
      </c>
      <c r="F475" s="77" t="s">
        <v>2174</v>
      </c>
      <c r="G475" s="77" t="s">
        <v>2176</v>
      </c>
      <c r="H475" s="77" t="s">
        <v>2175</v>
      </c>
      <c r="I475" s="77" t="s">
        <v>795</v>
      </c>
      <c r="J475" s="90">
        <v>50</v>
      </c>
      <c r="K475" s="91">
        <v>1</v>
      </c>
      <c r="L475" s="77" t="s">
        <v>227</v>
      </c>
      <c r="M475" s="78">
        <v>1021.4001</v>
      </c>
      <c r="N475" s="79">
        <v>40.263890000000004</v>
      </c>
      <c r="O475" s="79">
        <v>108.35055</v>
      </c>
      <c r="P475" s="79">
        <v>14475.62501</v>
      </c>
      <c r="Q475" s="77"/>
      <c r="R475" s="77"/>
      <c r="S475" s="77"/>
      <c r="T475" s="77"/>
      <c r="U475" s="77"/>
      <c r="V475" s="87"/>
      <c r="W475" s="87"/>
      <c r="X475" s="87"/>
      <c r="Y475" s="77"/>
      <c r="Z475" s="88"/>
      <c r="AA475" s="35"/>
      <c r="AB475" s="35"/>
    </row>
    <row r="476" spans="1:28" x14ac:dyDescent="0.25">
      <c r="A476" s="68" t="str">
        <f t="shared" si="21"/>
        <v>467484</v>
      </c>
      <c r="B476" s="10">
        <f t="shared" si="22"/>
        <v>350.94779999999997</v>
      </c>
      <c r="C476" s="77" t="s">
        <v>5131</v>
      </c>
      <c r="D476" s="191" t="str">
        <f t="shared" si="23"/>
        <v>StrongLumio lepící páska oboustranná 12mm super silná pro LED profily 5m</v>
      </c>
      <c r="E476" s="77" t="s">
        <v>2177</v>
      </c>
      <c r="F476" s="77" t="s">
        <v>2178</v>
      </c>
      <c r="G476" s="77" t="s">
        <v>2180</v>
      </c>
      <c r="H476" s="77" t="s">
        <v>2179</v>
      </c>
      <c r="I476" s="77" t="s">
        <v>795</v>
      </c>
      <c r="J476" s="90">
        <v>10</v>
      </c>
      <c r="K476" s="91">
        <v>1</v>
      </c>
      <c r="L476" s="77" t="s">
        <v>227</v>
      </c>
      <c r="M476" s="78">
        <v>350.94779999999997</v>
      </c>
      <c r="N476" s="79">
        <v>13.87176</v>
      </c>
      <c r="O476" s="79">
        <v>38.111469999999997</v>
      </c>
      <c r="P476" s="79">
        <v>4973.7499900000003</v>
      </c>
      <c r="Q476" s="77"/>
      <c r="R476" s="77"/>
      <c r="S476" s="77"/>
      <c r="T476" s="77"/>
      <c r="U476" s="77"/>
      <c r="V476" s="87"/>
      <c r="W476" s="87"/>
      <c r="X476" s="87"/>
      <c r="Y476" s="77"/>
      <c r="Z476" s="88"/>
      <c r="AA476" s="35"/>
      <c r="AB476" s="35"/>
    </row>
    <row r="477" spans="1:28" x14ac:dyDescent="0.25">
      <c r="A477" s="68" t="str">
        <f t="shared" si="21"/>
        <v>546602</v>
      </c>
      <c r="B477" s="10">
        <f t="shared" si="22"/>
        <v>230.61359999999999</v>
      </c>
      <c r="C477" s="77" t="s">
        <v>5132</v>
      </c>
      <c r="D477" s="191" t="str">
        <f t="shared" si="23"/>
        <v>StrongLumio magnetický senzor pro dveřní vypínač</v>
      </c>
      <c r="E477" s="77" t="s">
        <v>2181</v>
      </c>
      <c r="F477" s="77" t="s">
        <v>2182</v>
      </c>
      <c r="G477" s="77" t="s">
        <v>2183</v>
      </c>
      <c r="H477" s="77" t="s">
        <v>6459</v>
      </c>
      <c r="I477" s="77" t="s">
        <v>795</v>
      </c>
      <c r="J477" s="90">
        <v>1</v>
      </c>
      <c r="K477" s="91">
        <v>1</v>
      </c>
      <c r="L477" s="77" t="s">
        <v>227</v>
      </c>
      <c r="M477" s="78">
        <v>230.61359999999999</v>
      </c>
      <c r="N477" s="79">
        <v>10.5749</v>
      </c>
      <c r="O477" s="79">
        <v>34.372259999999997</v>
      </c>
      <c r="P477" s="79">
        <v>3459.4</v>
      </c>
      <c r="Q477" s="77"/>
      <c r="R477" s="77"/>
      <c r="S477" s="77"/>
      <c r="T477" s="77"/>
      <c r="U477" s="77"/>
      <c r="V477" s="87"/>
      <c r="W477" s="87"/>
      <c r="X477" s="87"/>
      <c r="Y477" s="77"/>
      <c r="Z477" s="88"/>
      <c r="AA477" s="35"/>
      <c r="AB477" s="35"/>
    </row>
    <row r="478" spans="1:28" x14ac:dyDescent="0.25">
      <c r="A478" s="68" t="str">
        <f t="shared" ref="A478:A541" si="24">C478</f>
        <v>543615</v>
      </c>
      <c r="B478" s="10">
        <f t="shared" si="22"/>
        <v>16.665600000000001</v>
      </c>
      <c r="C478" s="77" t="s">
        <v>5133</v>
      </c>
      <c r="D478" s="191" t="str">
        <f t="shared" si="23"/>
        <v>StrongLumio napájecí DC zdířka 2,1mm se svorkovnicí (samec)</v>
      </c>
      <c r="E478" s="77" t="s">
        <v>2184</v>
      </c>
      <c r="F478" s="77" t="s">
        <v>2185</v>
      </c>
      <c r="G478" s="77" t="s">
        <v>2186</v>
      </c>
      <c r="H478" s="77" t="s">
        <v>6460</v>
      </c>
      <c r="I478" s="77" t="s">
        <v>795</v>
      </c>
      <c r="J478" s="90">
        <v>1000</v>
      </c>
      <c r="K478" s="91">
        <v>1</v>
      </c>
      <c r="L478" s="77" t="s">
        <v>227</v>
      </c>
      <c r="M478" s="78">
        <v>16.665600000000001</v>
      </c>
      <c r="N478" s="79">
        <v>0.71352000000000004</v>
      </c>
      <c r="O478" s="79">
        <v>2.3534099999999998</v>
      </c>
      <c r="P478" s="79">
        <v>242.26456999999999</v>
      </c>
      <c r="Q478" s="77"/>
      <c r="R478" s="77"/>
      <c r="S478" s="77"/>
      <c r="T478" s="77"/>
      <c r="U478" s="77"/>
      <c r="V478" s="87"/>
      <c r="W478" s="87"/>
      <c r="X478" s="87"/>
      <c r="Y478" s="77"/>
      <c r="Z478" s="88"/>
      <c r="AA478" s="35"/>
      <c r="AB478" s="35"/>
    </row>
    <row r="479" spans="1:28" x14ac:dyDescent="0.25">
      <c r="A479" s="68" t="str">
        <f t="shared" si="24"/>
        <v>381175</v>
      </c>
      <c r="B479" s="10">
        <f t="shared" si="22"/>
        <v>11.81817</v>
      </c>
      <c r="C479" s="77" t="s">
        <v>5134</v>
      </c>
      <c r="D479" s="191" t="str">
        <f t="shared" si="23"/>
        <v>StrongLumio napájecí DC zdířka 2,1mm se svorkovnicí (samice)</v>
      </c>
      <c r="E479" s="77" t="s">
        <v>2187</v>
      </c>
      <c r="F479" s="77" t="s">
        <v>2188</v>
      </c>
      <c r="G479" s="77" t="s">
        <v>2190</v>
      </c>
      <c r="H479" s="77" t="s">
        <v>2189</v>
      </c>
      <c r="I479" s="77" t="s">
        <v>795</v>
      </c>
      <c r="J479" s="90">
        <v>100</v>
      </c>
      <c r="K479" s="91">
        <v>1</v>
      </c>
      <c r="L479" s="77" t="s">
        <v>227</v>
      </c>
      <c r="M479" s="78">
        <v>11.81817</v>
      </c>
      <c r="N479" s="79">
        <v>0.52781</v>
      </c>
      <c r="O479" s="79">
        <v>1.68004</v>
      </c>
      <c r="P479" s="79">
        <v>183.03851</v>
      </c>
      <c r="Q479" s="77"/>
      <c r="R479" s="77"/>
      <c r="S479" s="77"/>
      <c r="T479" s="77"/>
      <c r="U479" s="77"/>
      <c r="V479" s="87"/>
      <c r="W479" s="87"/>
      <c r="X479" s="87"/>
      <c r="Y479" s="77"/>
      <c r="Z479" s="88"/>
      <c r="AA479" s="35"/>
      <c r="AB479" s="35"/>
    </row>
    <row r="480" spans="1:28" x14ac:dyDescent="0.25">
      <c r="A480" s="68" t="str">
        <f t="shared" si="24"/>
        <v>484187</v>
      </c>
      <c r="B480" s="10">
        <f t="shared" ref="B480:B543" si="25">IF($B$1=1,M480,IF($B$1=2,N480,IF($B$1=3,O480,IF($B$1=4,P480))))</f>
        <v>994.70591999999999</v>
      </c>
      <c r="C480" s="77" t="s">
        <v>5135</v>
      </c>
      <c r="D480" s="191" t="str">
        <f t="shared" si="23"/>
        <v>StrongLumio napájecí zdroj 12V - 100W (8x mini konektor + 1x 3PIN konektor)</v>
      </c>
      <c r="E480" s="77" t="s">
        <v>2191</v>
      </c>
      <c r="F480" s="77" t="s">
        <v>2192</v>
      </c>
      <c r="G480" s="77" t="s">
        <v>2194</v>
      </c>
      <c r="H480" s="77" t="s">
        <v>2193</v>
      </c>
      <c r="I480" s="77" t="s">
        <v>795</v>
      </c>
      <c r="J480" s="90">
        <v>50</v>
      </c>
      <c r="K480" s="91">
        <v>1</v>
      </c>
      <c r="L480" s="77" t="s">
        <v>227</v>
      </c>
      <c r="M480" s="78">
        <v>994.70591999999999</v>
      </c>
      <c r="N480" s="79">
        <v>38.760509999999996</v>
      </c>
      <c r="O480" s="79">
        <v>124.458</v>
      </c>
      <c r="P480" s="79">
        <v>12615.48703</v>
      </c>
      <c r="Q480" s="77"/>
      <c r="R480" s="77"/>
      <c r="S480" s="77"/>
      <c r="T480" s="77"/>
      <c r="U480" s="77"/>
      <c r="V480" s="87"/>
      <c r="W480" s="87"/>
      <c r="X480" s="87"/>
      <c r="Y480" s="77"/>
      <c r="Z480" s="88"/>
      <c r="AA480" s="35"/>
      <c r="AB480" s="35"/>
    </row>
    <row r="481" spans="1:28" x14ac:dyDescent="0.25">
      <c r="A481" s="68" t="str">
        <f t="shared" si="24"/>
        <v>484185</v>
      </c>
      <c r="B481" s="10">
        <f t="shared" si="25"/>
        <v>483.60498999999999</v>
      </c>
      <c r="C481" s="77" t="s">
        <v>5136</v>
      </c>
      <c r="D481" s="191" t="str">
        <f t="shared" si="23"/>
        <v>StrongLumio napájecí zdroj 12V - 24W (4x mini konektor + 1x 3PIN konektor)</v>
      </c>
      <c r="E481" s="77" t="s">
        <v>2195</v>
      </c>
      <c r="F481" s="77" t="s">
        <v>2196</v>
      </c>
      <c r="G481" s="77" t="s">
        <v>2198</v>
      </c>
      <c r="H481" s="77" t="s">
        <v>2197</v>
      </c>
      <c r="I481" s="77" t="s">
        <v>795</v>
      </c>
      <c r="J481" s="90">
        <v>1</v>
      </c>
      <c r="K481" s="91">
        <v>1</v>
      </c>
      <c r="L481" s="77" t="s">
        <v>160</v>
      </c>
      <c r="M481" s="78">
        <v>483.60498999999999</v>
      </c>
      <c r="N481" s="79">
        <v>18.844560000000001</v>
      </c>
      <c r="O481" s="79">
        <v>67.489769999999993</v>
      </c>
      <c r="P481" s="79">
        <v>6133.3831300000002</v>
      </c>
      <c r="Q481" s="77"/>
      <c r="R481" s="77"/>
      <c r="S481" s="77"/>
      <c r="T481" s="77"/>
      <c r="U481" s="77"/>
      <c r="V481" s="87"/>
      <c r="W481" s="87"/>
      <c r="X481" s="87"/>
      <c r="Y481" s="77"/>
      <c r="Z481" s="88"/>
      <c r="AA481" s="35"/>
      <c r="AB481" s="35"/>
    </row>
    <row r="482" spans="1:28" x14ac:dyDescent="0.25">
      <c r="A482" s="68" t="str">
        <f t="shared" si="24"/>
        <v>542930</v>
      </c>
      <c r="B482" s="10">
        <f t="shared" si="25"/>
        <v>472.46976000000001</v>
      </c>
      <c r="C482" s="77" t="s">
        <v>5137</v>
      </c>
      <c r="D482" s="191" t="str">
        <f t="shared" si="23"/>
        <v>StrongLumio napájecí zdroj 12V - 36W (6x mini konektor + 1x 3PIN konektor)</v>
      </c>
      <c r="E482" s="77" t="s">
        <v>2199</v>
      </c>
      <c r="F482" s="77" t="s">
        <v>2200</v>
      </c>
      <c r="G482" s="77" t="s">
        <v>2202</v>
      </c>
      <c r="H482" s="77" t="s">
        <v>2201</v>
      </c>
      <c r="I482" s="77" t="s">
        <v>795</v>
      </c>
      <c r="J482" s="90">
        <v>50</v>
      </c>
      <c r="K482" s="91">
        <v>1</v>
      </c>
      <c r="L482" s="77" t="s">
        <v>227</v>
      </c>
      <c r="M482" s="78">
        <v>472.46976000000001</v>
      </c>
      <c r="N482" s="79">
        <v>18.82563</v>
      </c>
      <c r="O482" s="79">
        <v>62.860379999999999</v>
      </c>
      <c r="P482" s="79">
        <v>5953.5</v>
      </c>
      <c r="Q482" s="77"/>
      <c r="R482" s="77"/>
      <c r="S482" s="77"/>
      <c r="T482" s="77"/>
      <c r="U482" s="77"/>
      <c r="V482" s="87"/>
      <c r="W482" s="87"/>
      <c r="X482" s="87"/>
      <c r="Y482" s="77"/>
      <c r="Z482" s="88"/>
      <c r="AA482" s="35"/>
      <c r="AB482" s="35"/>
    </row>
    <row r="483" spans="1:28" x14ac:dyDescent="0.25">
      <c r="A483" s="68" t="str">
        <f t="shared" si="24"/>
        <v>484186</v>
      </c>
      <c r="B483" s="10">
        <f t="shared" si="25"/>
        <v>669.60690999999997</v>
      </c>
      <c r="C483" s="77" t="s">
        <v>5138</v>
      </c>
      <c r="D483" s="191" t="str">
        <f t="shared" si="23"/>
        <v>StrongLumio napájecí zdroj 12V - 60W (7x mini konektor + 1x 3PIN konektor)</v>
      </c>
      <c r="E483" s="77" t="s">
        <v>2203</v>
      </c>
      <c r="F483" s="77" t="s">
        <v>2204</v>
      </c>
      <c r="G483" s="77" t="s">
        <v>2206</v>
      </c>
      <c r="H483" s="77" t="s">
        <v>2205</v>
      </c>
      <c r="I483" s="77" t="s">
        <v>795</v>
      </c>
      <c r="J483" s="90">
        <v>1</v>
      </c>
      <c r="K483" s="91">
        <v>1</v>
      </c>
      <c r="L483" s="77" t="s">
        <v>227</v>
      </c>
      <c r="M483" s="78">
        <v>669.60690999999997</v>
      </c>
      <c r="N483" s="79">
        <v>23.99701</v>
      </c>
      <c r="O483" s="79">
        <v>79.43674</v>
      </c>
      <c r="P483" s="79">
        <v>8492.3766300000007</v>
      </c>
      <c r="Q483" s="77"/>
      <c r="R483" s="77"/>
      <c r="S483" s="77"/>
      <c r="T483" s="77"/>
      <c r="U483" s="77"/>
      <c r="V483" s="87"/>
      <c r="W483" s="87"/>
      <c r="X483" s="87"/>
      <c r="Y483" s="77"/>
      <c r="Z483" s="88"/>
      <c r="AA483" s="35"/>
      <c r="AB483" s="35"/>
    </row>
    <row r="484" spans="1:28" x14ac:dyDescent="0.25">
      <c r="A484" s="68" t="str">
        <f t="shared" si="24"/>
        <v>484190</v>
      </c>
      <c r="B484" s="10">
        <f t="shared" si="25"/>
        <v>1219.5256300000001</v>
      </c>
      <c r="C484" s="77" t="s">
        <v>5139</v>
      </c>
      <c r="D484" s="191" t="str">
        <f t="shared" si="23"/>
        <v>StrongLumio napájecí zdroj 24V - 100W (8x mini konektor + 1x 3PIN konektor)</v>
      </c>
      <c r="E484" s="77" t="s">
        <v>2207</v>
      </c>
      <c r="F484" s="77" t="s">
        <v>2208</v>
      </c>
      <c r="G484" s="77" t="s">
        <v>2210</v>
      </c>
      <c r="H484" s="77" t="s">
        <v>2209</v>
      </c>
      <c r="I484" s="77" t="s">
        <v>795</v>
      </c>
      <c r="J484" s="90">
        <v>1</v>
      </c>
      <c r="K484" s="91">
        <v>1</v>
      </c>
      <c r="L484" s="77" t="s">
        <v>227</v>
      </c>
      <c r="M484" s="78">
        <v>1219.5256300000001</v>
      </c>
      <c r="N484" s="79">
        <v>37.396799999999999</v>
      </c>
      <c r="O484" s="79">
        <v>123.98596999999999</v>
      </c>
      <c r="P484" s="79">
        <v>15466.7922</v>
      </c>
      <c r="Q484" s="77"/>
      <c r="R484" s="77"/>
      <c r="S484" s="77"/>
      <c r="T484" s="77"/>
      <c r="U484" s="77"/>
      <c r="V484" s="87"/>
      <c r="W484" s="87"/>
      <c r="X484" s="87"/>
      <c r="Y484" s="77"/>
      <c r="Z484" s="88"/>
      <c r="AA484" s="35"/>
      <c r="AB484" s="35"/>
    </row>
    <row r="485" spans="1:28" x14ac:dyDescent="0.25">
      <c r="A485" s="68" t="str">
        <f t="shared" si="24"/>
        <v>484188</v>
      </c>
      <c r="B485" s="10">
        <f t="shared" si="25"/>
        <v>580.64946999999995</v>
      </c>
      <c r="C485" s="77" t="s">
        <v>5140</v>
      </c>
      <c r="D485" s="191" t="str">
        <f t="shared" si="23"/>
        <v>StrongLumio napájecí zdroj 24V - 36W (6x mini konektor + 1x 3PIN konektor)</v>
      </c>
      <c r="E485" s="77" t="s">
        <v>2211</v>
      </c>
      <c r="F485" s="77" t="s">
        <v>2212</v>
      </c>
      <c r="G485" s="77" t="s">
        <v>2214</v>
      </c>
      <c r="H485" s="77" t="s">
        <v>2213</v>
      </c>
      <c r="I485" s="77" t="s">
        <v>795</v>
      </c>
      <c r="J485" s="90">
        <v>1</v>
      </c>
      <c r="K485" s="91">
        <v>1</v>
      </c>
      <c r="L485" s="77" t="s">
        <v>227</v>
      </c>
      <c r="M485" s="78">
        <v>580.64946999999995</v>
      </c>
      <c r="N485" s="79">
        <v>18.80057</v>
      </c>
      <c r="O485" s="79">
        <v>63.386069999999997</v>
      </c>
      <c r="P485" s="79">
        <v>7364.1623499999996</v>
      </c>
      <c r="Q485" s="77"/>
      <c r="R485" s="77"/>
      <c r="S485" s="77"/>
      <c r="T485" s="77"/>
      <c r="U485" s="77"/>
      <c r="V485" s="87"/>
      <c r="W485" s="87"/>
      <c r="X485" s="87"/>
      <c r="Y485" s="77"/>
      <c r="Z485" s="88"/>
      <c r="AA485" s="35"/>
      <c r="AB485" s="35"/>
    </row>
    <row r="486" spans="1:28" x14ac:dyDescent="0.25">
      <c r="A486" s="68" t="str">
        <f t="shared" si="24"/>
        <v>542931</v>
      </c>
      <c r="B486" s="10">
        <f t="shared" si="25"/>
        <v>663.70752000000005</v>
      </c>
      <c r="C486" s="77" t="s">
        <v>5141</v>
      </c>
      <c r="D486" s="191" t="str">
        <f t="shared" si="23"/>
        <v>StrongLumio napájecí zdroj 24V - 60W (7x mini konektor + 1x 3PIN konektor)</v>
      </c>
      <c r="E486" s="77" t="s">
        <v>2215</v>
      </c>
      <c r="F486" s="77" t="s">
        <v>2216</v>
      </c>
      <c r="G486" s="77" t="s">
        <v>2218</v>
      </c>
      <c r="H486" s="77" t="s">
        <v>2217</v>
      </c>
      <c r="I486" s="77" t="s">
        <v>795</v>
      </c>
      <c r="J486" s="90">
        <v>1</v>
      </c>
      <c r="K486" s="91">
        <v>1</v>
      </c>
      <c r="L486" s="77" t="s">
        <v>227</v>
      </c>
      <c r="M486" s="78">
        <v>663.70752000000005</v>
      </c>
      <c r="N486" s="79">
        <v>26.445550000000001</v>
      </c>
      <c r="O486" s="79">
        <v>87.964429999999993</v>
      </c>
      <c r="P486" s="79">
        <v>8363.25</v>
      </c>
      <c r="Q486" s="77"/>
      <c r="R486" s="77"/>
      <c r="S486" s="77"/>
      <c r="T486" s="77"/>
      <c r="U486" s="77"/>
      <c r="V486" s="87"/>
      <c r="W486" s="87"/>
      <c r="X486" s="87"/>
      <c r="Y486" s="77"/>
      <c r="Z486" s="88"/>
      <c r="AA486" s="35"/>
      <c r="AB486" s="35"/>
    </row>
    <row r="487" spans="1:28" x14ac:dyDescent="0.25">
      <c r="A487" s="68" t="str">
        <f t="shared" si="24"/>
        <v>484189</v>
      </c>
      <c r="B487" s="10">
        <f t="shared" si="25"/>
        <v>1035.94982</v>
      </c>
      <c r="C487" s="77" t="s">
        <v>5142</v>
      </c>
      <c r="D487" s="191" t="str">
        <f t="shared" si="23"/>
        <v>StrongLumio napájecí zdroj 24V - 80W (8x mini konektor + 1x 3PIN konektor)</v>
      </c>
      <c r="E487" s="77" t="s">
        <v>2219</v>
      </c>
      <c r="F487" s="77" t="s">
        <v>2220</v>
      </c>
      <c r="G487" s="77" t="s">
        <v>2222</v>
      </c>
      <c r="H487" s="77" t="s">
        <v>2221</v>
      </c>
      <c r="I487" s="77" t="s">
        <v>795</v>
      </c>
      <c r="J487" s="90">
        <v>1</v>
      </c>
      <c r="K487" s="91">
        <v>1</v>
      </c>
      <c r="L487" s="77" t="s">
        <v>160</v>
      </c>
      <c r="M487" s="78">
        <v>1035.94982</v>
      </c>
      <c r="N487" s="79">
        <v>40.36768</v>
      </c>
      <c r="O487" s="79">
        <v>132.91555</v>
      </c>
      <c r="P487" s="79">
        <v>13138.56818</v>
      </c>
      <c r="Q487" s="77"/>
      <c r="R487" s="77"/>
      <c r="S487" s="77"/>
      <c r="T487" s="77"/>
      <c r="U487" s="77"/>
      <c r="V487" s="87"/>
      <c r="W487" s="87"/>
      <c r="X487" s="87"/>
      <c r="Y487" s="77"/>
      <c r="Z487" s="88"/>
      <c r="AA487" s="35"/>
      <c r="AB487" s="35"/>
    </row>
    <row r="488" spans="1:28" x14ac:dyDescent="0.25">
      <c r="A488" s="68" t="str">
        <f t="shared" si="24"/>
        <v>544904</v>
      </c>
      <c r="B488" s="10">
        <f t="shared" si="25"/>
        <v>1249.8884</v>
      </c>
      <c r="C488" s="77" t="s">
        <v>5143</v>
      </c>
      <c r="D488" s="191" t="str">
        <f t="shared" si="23"/>
        <v>StrongLumio napájecí zdroj plochý pro LED 12V - 150W</v>
      </c>
      <c r="E488" s="77" t="s">
        <v>2223</v>
      </c>
      <c r="F488" s="77" t="s">
        <v>2224</v>
      </c>
      <c r="G488" s="77" t="s">
        <v>2226</v>
      </c>
      <c r="H488" s="77" t="s">
        <v>2225</v>
      </c>
      <c r="I488" s="77" t="s">
        <v>795</v>
      </c>
      <c r="J488" s="90">
        <v>20</v>
      </c>
      <c r="K488" s="91">
        <v>1</v>
      </c>
      <c r="L488" s="77" t="s">
        <v>227</v>
      </c>
      <c r="M488" s="78">
        <v>1249.8884</v>
      </c>
      <c r="N488" s="79">
        <v>52.472180000000002</v>
      </c>
      <c r="O488" s="79">
        <v>162.07329999999999</v>
      </c>
      <c r="P488" s="79">
        <v>14058.300649999999</v>
      </c>
      <c r="Q488" s="77"/>
      <c r="R488" s="77"/>
      <c r="S488" s="77"/>
      <c r="T488" s="77"/>
      <c r="U488" s="77"/>
      <c r="V488" s="87"/>
      <c r="W488" s="87"/>
      <c r="X488" s="87"/>
      <c r="Y488" s="77"/>
      <c r="Z488" s="88"/>
      <c r="AA488" s="35"/>
      <c r="AB488" s="35"/>
    </row>
    <row r="489" spans="1:28" x14ac:dyDescent="0.25">
      <c r="A489" s="68" t="str">
        <f t="shared" si="24"/>
        <v>544903</v>
      </c>
      <c r="B489" s="10">
        <f t="shared" si="25"/>
        <v>534.43503999999996</v>
      </c>
      <c r="C489" s="77" t="s">
        <v>5144</v>
      </c>
      <c r="D489" s="191" t="str">
        <f t="shared" si="23"/>
        <v>StrongLumio napájecí zdroj plochý pro LED 12V - 50W</v>
      </c>
      <c r="E489" s="77" t="s">
        <v>2227</v>
      </c>
      <c r="F489" s="77" t="s">
        <v>2228</v>
      </c>
      <c r="G489" s="77" t="s">
        <v>2230</v>
      </c>
      <c r="H489" s="77" t="s">
        <v>2229</v>
      </c>
      <c r="I489" s="77" t="s">
        <v>795</v>
      </c>
      <c r="J489" s="90">
        <v>50</v>
      </c>
      <c r="K489" s="91">
        <v>1</v>
      </c>
      <c r="L489" s="77" t="s">
        <v>227</v>
      </c>
      <c r="M489" s="78">
        <v>534.43503999999996</v>
      </c>
      <c r="N489" s="79">
        <v>22.436399999999999</v>
      </c>
      <c r="O489" s="79">
        <v>72.032600000000002</v>
      </c>
      <c r="P489" s="79">
        <v>6068.33122</v>
      </c>
      <c r="Q489" s="77"/>
      <c r="R489" s="77"/>
      <c r="S489" s="77"/>
      <c r="T489" s="77"/>
      <c r="U489" s="77"/>
      <c r="V489" s="87"/>
      <c r="W489" s="87"/>
      <c r="X489" s="87"/>
      <c r="Y489" s="77"/>
      <c r="Z489" s="88"/>
      <c r="AA489" s="35"/>
      <c r="AB489" s="35"/>
    </row>
    <row r="490" spans="1:28" x14ac:dyDescent="0.25">
      <c r="A490" s="68" t="str">
        <f t="shared" si="24"/>
        <v>405187</v>
      </c>
      <c r="B490" s="10">
        <f t="shared" si="25"/>
        <v>885.79435999999998</v>
      </c>
      <c r="C490" s="77" t="s">
        <v>5145</v>
      </c>
      <c r="D490" s="191" t="str">
        <f t="shared" si="23"/>
        <v>StrongLumio napájecí zdroj plochý pro LED 12V, 100W</v>
      </c>
      <c r="E490" s="77" t="s">
        <v>2231</v>
      </c>
      <c r="F490" s="77" t="s">
        <v>2232</v>
      </c>
      <c r="G490" s="77" t="s">
        <v>2234</v>
      </c>
      <c r="H490" s="77" t="s">
        <v>2233</v>
      </c>
      <c r="I490" s="77" t="s">
        <v>795</v>
      </c>
      <c r="J490" s="90">
        <v>20</v>
      </c>
      <c r="K490" s="91">
        <v>1</v>
      </c>
      <c r="L490" s="77" t="s">
        <v>227</v>
      </c>
      <c r="M490" s="78">
        <v>885.79435999999998</v>
      </c>
      <c r="N490" s="79">
        <v>36.36721</v>
      </c>
      <c r="O490" s="79">
        <v>108.83128000000001</v>
      </c>
      <c r="P490" s="79">
        <v>10065</v>
      </c>
      <c r="Q490" s="77"/>
      <c r="R490" s="77"/>
      <c r="S490" s="77"/>
      <c r="T490" s="77"/>
      <c r="U490" s="77"/>
      <c r="V490" s="87"/>
      <c r="W490" s="87"/>
      <c r="X490" s="87"/>
      <c r="Y490" s="77"/>
      <c r="Z490" s="88"/>
      <c r="AA490" s="35"/>
      <c r="AB490" s="35"/>
    </row>
    <row r="491" spans="1:28" x14ac:dyDescent="0.25">
      <c r="A491" s="68" t="str">
        <f t="shared" si="24"/>
        <v>405183</v>
      </c>
      <c r="B491" s="10">
        <f t="shared" si="25"/>
        <v>293.99619999999999</v>
      </c>
      <c r="C491" s="77" t="s">
        <v>5146</v>
      </c>
      <c r="D491" s="191" t="str">
        <f t="shared" si="23"/>
        <v>StrongLumio napájecí zdroj plochý pro LED 12V, 15W</v>
      </c>
      <c r="E491" s="77" t="s">
        <v>2235</v>
      </c>
      <c r="F491" s="77" t="s">
        <v>2236</v>
      </c>
      <c r="G491" s="77" t="s">
        <v>2238</v>
      </c>
      <c r="H491" s="77" t="s">
        <v>2237</v>
      </c>
      <c r="I491" s="77" t="s">
        <v>795</v>
      </c>
      <c r="J491" s="90">
        <v>50</v>
      </c>
      <c r="K491" s="91">
        <v>1</v>
      </c>
      <c r="L491" s="77" t="s">
        <v>227</v>
      </c>
      <c r="M491" s="78">
        <v>293.99619999999999</v>
      </c>
      <c r="N491" s="79">
        <v>12.070349999999999</v>
      </c>
      <c r="O491" s="79">
        <v>36.38655</v>
      </c>
      <c r="P491" s="79">
        <v>3340</v>
      </c>
      <c r="Q491" s="77"/>
      <c r="R491" s="77"/>
      <c r="S491" s="77"/>
      <c r="T491" s="77"/>
      <c r="U491" s="77"/>
      <c r="V491" s="87"/>
      <c r="W491" s="87"/>
      <c r="X491" s="87"/>
      <c r="Y491" s="77"/>
      <c r="Z491" s="88"/>
      <c r="AA491" s="35"/>
      <c r="AB491" s="35"/>
    </row>
    <row r="492" spans="1:28" x14ac:dyDescent="0.25">
      <c r="A492" s="68" t="str">
        <f t="shared" si="24"/>
        <v>405184</v>
      </c>
      <c r="B492" s="10">
        <f t="shared" si="25"/>
        <v>418.06612000000001</v>
      </c>
      <c r="C492" s="77" t="s">
        <v>5147</v>
      </c>
      <c r="D492" s="191" t="str">
        <f t="shared" si="23"/>
        <v>StrongLumio napájecí zdroj plochý pro LED 12V, 30W</v>
      </c>
      <c r="E492" s="77" t="s">
        <v>2239</v>
      </c>
      <c r="F492" s="77" t="s">
        <v>2240</v>
      </c>
      <c r="G492" s="77" t="s">
        <v>2242</v>
      </c>
      <c r="H492" s="77" t="s">
        <v>2241</v>
      </c>
      <c r="I492" s="77" t="s">
        <v>795</v>
      </c>
      <c r="J492" s="90">
        <v>50</v>
      </c>
      <c r="K492" s="91">
        <v>1</v>
      </c>
      <c r="L492" s="77" t="s">
        <v>227</v>
      </c>
      <c r="M492" s="78">
        <v>418.06612000000001</v>
      </c>
      <c r="N492" s="79">
        <v>17.551030000000001</v>
      </c>
      <c r="O492" s="79">
        <v>53.477179999999997</v>
      </c>
      <c r="P492" s="79">
        <v>4419</v>
      </c>
      <c r="Q492" s="77"/>
      <c r="R492" s="77"/>
      <c r="S492" s="77"/>
      <c r="T492" s="77"/>
      <c r="U492" s="77"/>
      <c r="V492" s="87"/>
      <c r="W492" s="87"/>
      <c r="X492" s="87"/>
      <c r="Y492" s="77"/>
      <c r="Z492" s="88"/>
      <c r="AA492" s="35"/>
      <c r="AB492" s="35"/>
    </row>
    <row r="493" spans="1:28" x14ac:dyDescent="0.25">
      <c r="A493" s="68" t="str">
        <f t="shared" si="24"/>
        <v>405185</v>
      </c>
      <c r="B493" s="10">
        <f t="shared" si="25"/>
        <v>627.95303999999999</v>
      </c>
      <c r="C493" s="77" t="s">
        <v>5148</v>
      </c>
      <c r="D493" s="191" t="str">
        <f t="shared" si="23"/>
        <v>StrongLumio napájecí zdroj plochý pro LED 12V, 60W</v>
      </c>
      <c r="E493" s="77" t="s">
        <v>2243</v>
      </c>
      <c r="F493" s="77" t="s">
        <v>2244</v>
      </c>
      <c r="G493" s="77" t="s">
        <v>2246</v>
      </c>
      <c r="H493" s="77" t="s">
        <v>2245</v>
      </c>
      <c r="I493" s="77" t="s">
        <v>795</v>
      </c>
      <c r="J493" s="90">
        <v>20</v>
      </c>
      <c r="K493" s="91">
        <v>1</v>
      </c>
      <c r="L493" s="77" t="s">
        <v>160</v>
      </c>
      <c r="M493" s="78">
        <v>627.95303999999999</v>
      </c>
      <c r="N493" s="79">
        <v>25.781279999999999</v>
      </c>
      <c r="O493" s="79">
        <v>77.159450000000007</v>
      </c>
      <c r="P493" s="79">
        <v>7511.4000100000003</v>
      </c>
      <c r="Q493" s="77"/>
      <c r="R493" s="77"/>
      <c r="S493" s="77"/>
      <c r="T493" s="77"/>
      <c r="U493" s="77"/>
      <c r="V493" s="87"/>
      <c r="W493" s="87"/>
      <c r="X493" s="87"/>
      <c r="Y493" s="77"/>
      <c r="Z493" s="88"/>
      <c r="AA493" s="35"/>
      <c r="AB493" s="35"/>
    </row>
    <row r="494" spans="1:28" x14ac:dyDescent="0.25">
      <c r="A494" s="68" t="str">
        <f t="shared" si="24"/>
        <v>405186</v>
      </c>
      <c r="B494" s="10">
        <f t="shared" si="25"/>
        <v>663.73383999999999</v>
      </c>
      <c r="C494" s="77" t="s">
        <v>5149</v>
      </c>
      <c r="D494" s="191" t="str">
        <f t="shared" si="23"/>
        <v>StrongLumio napájecí zdroj plochý pro LED 12V, 75W</v>
      </c>
      <c r="E494" s="77" t="s">
        <v>2247</v>
      </c>
      <c r="F494" s="77" t="s">
        <v>2248</v>
      </c>
      <c r="G494" s="77" t="s">
        <v>2250</v>
      </c>
      <c r="H494" s="77" t="s">
        <v>2249</v>
      </c>
      <c r="I494" s="77" t="s">
        <v>795</v>
      </c>
      <c r="J494" s="90">
        <v>20</v>
      </c>
      <c r="K494" s="91">
        <v>1</v>
      </c>
      <c r="L494" s="77" t="s">
        <v>227</v>
      </c>
      <c r="M494" s="78">
        <v>663.73383999999999</v>
      </c>
      <c r="N494" s="79">
        <v>27.864519999999999</v>
      </c>
      <c r="O494" s="79">
        <v>87.408249999999995</v>
      </c>
      <c r="P494" s="79">
        <v>7460</v>
      </c>
      <c r="Q494" s="77"/>
      <c r="R494" s="77"/>
      <c r="S494" s="77"/>
      <c r="T494" s="77"/>
      <c r="U494" s="77"/>
      <c r="V494" s="87"/>
      <c r="W494" s="87"/>
      <c r="X494" s="87"/>
      <c r="Y494" s="77"/>
      <c r="Z494" s="88"/>
      <c r="AA494" s="35"/>
      <c r="AB494" s="35"/>
    </row>
    <row r="495" spans="1:28" x14ac:dyDescent="0.25">
      <c r="A495" s="68" t="str">
        <f t="shared" si="24"/>
        <v>544906</v>
      </c>
      <c r="B495" s="10">
        <f t="shared" si="25"/>
        <v>1180.92904</v>
      </c>
      <c r="C495" s="77" t="s">
        <v>5150</v>
      </c>
      <c r="D495" s="191" t="str">
        <f t="shared" si="23"/>
        <v>StrongLumio napájecí zdroj plochý pro LED 24V - 150W</v>
      </c>
      <c r="E495" s="77" t="s">
        <v>2251</v>
      </c>
      <c r="F495" s="77" t="s">
        <v>2252</v>
      </c>
      <c r="G495" s="77" t="s">
        <v>2254</v>
      </c>
      <c r="H495" s="77" t="s">
        <v>2253</v>
      </c>
      <c r="I495" s="77" t="s">
        <v>795</v>
      </c>
      <c r="J495" s="90">
        <v>20</v>
      </c>
      <c r="K495" s="91">
        <v>1</v>
      </c>
      <c r="L495" s="77" t="s">
        <v>227</v>
      </c>
      <c r="M495" s="78">
        <v>1180.92904</v>
      </c>
      <c r="N495" s="79">
        <v>49.577150000000003</v>
      </c>
      <c r="O495" s="79">
        <v>156.07058000000001</v>
      </c>
      <c r="P495" s="79">
        <v>13552.60637</v>
      </c>
      <c r="Q495" s="77"/>
      <c r="R495" s="77"/>
      <c r="S495" s="77"/>
      <c r="T495" s="77"/>
      <c r="U495" s="77"/>
      <c r="V495" s="87"/>
      <c r="W495" s="87"/>
      <c r="X495" s="87"/>
      <c r="Y495" s="77"/>
      <c r="Z495" s="88"/>
      <c r="AA495" s="35"/>
      <c r="AB495" s="35"/>
    </row>
    <row r="496" spans="1:28" x14ac:dyDescent="0.25">
      <c r="A496" s="68" t="str">
        <f t="shared" si="24"/>
        <v>544907</v>
      </c>
      <c r="B496" s="10">
        <f t="shared" si="25"/>
        <v>395</v>
      </c>
      <c r="C496" s="77" t="s">
        <v>5151</v>
      </c>
      <c r="D496" s="191" t="str">
        <f t="shared" si="23"/>
        <v>StrongLumio napájecí zdroj plochý pro LED 24V - 30W</v>
      </c>
      <c r="E496" s="77" t="s">
        <v>2255</v>
      </c>
      <c r="F496" s="77" t="s">
        <v>2256</v>
      </c>
      <c r="G496" s="77" t="s">
        <v>2258</v>
      </c>
      <c r="H496" s="77" t="s">
        <v>2257</v>
      </c>
      <c r="I496" s="77" t="s">
        <v>795</v>
      </c>
      <c r="J496" s="90">
        <v>50</v>
      </c>
      <c r="K496" s="91">
        <v>1</v>
      </c>
      <c r="L496" s="77" t="s">
        <v>227</v>
      </c>
      <c r="M496" s="78">
        <v>395</v>
      </c>
      <c r="N496" s="79">
        <v>17.551030000000001</v>
      </c>
      <c r="O496" s="79">
        <v>53.477179999999997</v>
      </c>
      <c r="P496" s="79">
        <v>4419.7679099999996</v>
      </c>
      <c r="Q496" s="77"/>
      <c r="R496" s="77"/>
      <c r="S496" s="77"/>
      <c r="T496" s="77"/>
      <c r="U496" s="77"/>
      <c r="V496" s="87"/>
      <c r="W496" s="87"/>
      <c r="X496" s="87"/>
      <c r="Y496" s="77"/>
      <c r="Z496" s="88"/>
      <c r="AA496" s="35"/>
      <c r="AB496" s="35"/>
    </row>
    <row r="497" spans="1:28" x14ac:dyDescent="0.25">
      <c r="A497" s="68" t="str">
        <f t="shared" si="24"/>
        <v>544902</v>
      </c>
      <c r="B497" s="10">
        <f t="shared" si="25"/>
        <v>534.43503999999996</v>
      </c>
      <c r="C497" s="77" t="s">
        <v>5152</v>
      </c>
      <c r="D497" s="191" t="str">
        <f t="shared" si="23"/>
        <v>StrongLumio napájecí zdroj plochý pro LED 24V - 50W</v>
      </c>
      <c r="E497" s="77" t="s">
        <v>2259</v>
      </c>
      <c r="F497" s="77" t="s">
        <v>2260</v>
      </c>
      <c r="G497" s="77" t="s">
        <v>2262</v>
      </c>
      <c r="H497" s="77" t="s">
        <v>2261</v>
      </c>
      <c r="I497" s="77" t="s">
        <v>795</v>
      </c>
      <c r="J497" s="90">
        <v>50</v>
      </c>
      <c r="K497" s="91">
        <v>1</v>
      </c>
      <c r="L497" s="77" t="s">
        <v>227</v>
      </c>
      <c r="M497" s="78">
        <v>534.43503999999996</v>
      </c>
      <c r="N497" s="79">
        <v>22.436399999999999</v>
      </c>
      <c r="O497" s="79">
        <v>72.032600000000002</v>
      </c>
      <c r="P497" s="79">
        <v>6068.33122</v>
      </c>
      <c r="Q497" s="77"/>
      <c r="R497" s="77"/>
      <c r="S497" s="77"/>
      <c r="T497" s="77"/>
      <c r="U497" s="77"/>
      <c r="V497" s="87"/>
      <c r="W497" s="87"/>
      <c r="X497" s="87"/>
      <c r="Y497" s="77"/>
      <c r="Z497" s="88"/>
      <c r="AA497" s="35"/>
      <c r="AB497" s="35"/>
    </row>
    <row r="498" spans="1:28" x14ac:dyDescent="0.25">
      <c r="A498" s="68" t="str">
        <f t="shared" si="24"/>
        <v>284622</v>
      </c>
      <c r="B498" s="10">
        <f t="shared" si="25"/>
        <v>513.77976000000001</v>
      </c>
      <c r="C498" s="77" t="s">
        <v>5153</v>
      </c>
      <c r="D498" s="191" t="str">
        <f t="shared" si="23"/>
        <v>StrongLumio napájecí zdroj plochý pro LED 24V, 40W</v>
      </c>
      <c r="E498" s="77" t="s">
        <v>2263</v>
      </c>
      <c r="F498" s="77" t="s">
        <v>2264</v>
      </c>
      <c r="G498" s="77" t="s">
        <v>2266</v>
      </c>
      <c r="H498" s="77" t="s">
        <v>2265</v>
      </c>
      <c r="I498" s="77" t="s">
        <v>795</v>
      </c>
      <c r="J498" s="90">
        <v>100</v>
      </c>
      <c r="K498" s="91">
        <v>1</v>
      </c>
      <c r="L498" s="77" t="s">
        <v>160</v>
      </c>
      <c r="M498" s="78">
        <v>513.77976000000001</v>
      </c>
      <c r="N498" s="79">
        <v>21.093769999999999</v>
      </c>
      <c r="O498" s="79">
        <v>63.124499999999998</v>
      </c>
      <c r="P498" s="79">
        <v>6145.6909100000003</v>
      </c>
      <c r="Q498" s="77"/>
      <c r="R498" s="77"/>
      <c r="S498" s="77"/>
      <c r="T498" s="77"/>
      <c r="U498" s="77"/>
      <c r="V498" s="87"/>
      <c r="W498" s="87"/>
      <c r="X498" s="87"/>
      <c r="Y498" s="77"/>
      <c r="Z498" s="88"/>
      <c r="AA498" s="35"/>
      <c r="AB498" s="35"/>
    </row>
    <row r="499" spans="1:28" x14ac:dyDescent="0.25">
      <c r="A499" s="68" t="str">
        <f t="shared" si="24"/>
        <v>284623</v>
      </c>
      <c r="B499" s="10">
        <f t="shared" si="25"/>
        <v>599.40971999999999</v>
      </c>
      <c r="C499" s="77" t="s">
        <v>5154</v>
      </c>
      <c r="D499" s="191" t="str">
        <f t="shared" si="23"/>
        <v>StrongLumio napájecí zdroj plochý pro LED 24V, 60W</v>
      </c>
      <c r="E499" s="77" t="s">
        <v>2267</v>
      </c>
      <c r="F499" s="77" t="s">
        <v>2268</v>
      </c>
      <c r="G499" s="77" t="s">
        <v>2270</v>
      </c>
      <c r="H499" s="77" t="s">
        <v>2269</v>
      </c>
      <c r="I499" s="77" t="s">
        <v>795</v>
      </c>
      <c r="J499" s="90">
        <v>20</v>
      </c>
      <c r="K499" s="91">
        <v>1</v>
      </c>
      <c r="L499" s="77" t="s">
        <v>160</v>
      </c>
      <c r="M499" s="78">
        <v>599.40971999999999</v>
      </c>
      <c r="N499" s="79">
        <v>24.60941</v>
      </c>
      <c r="O499" s="79">
        <v>73.645250000000004</v>
      </c>
      <c r="P499" s="79">
        <v>7169.9727400000002</v>
      </c>
      <c r="Q499" s="77"/>
      <c r="R499" s="77"/>
      <c r="S499" s="77"/>
      <c r="T499" s="77"/>
      <c r="U499" s="77"/>
      <c r="V499" s="87"/>
      <c r="W499" s="87"/>
      <c r="X499" s="87"/>
      <c r="Y499" s="77"/>
      <c r="Z499" s="88"/>
      <c r="AA499" s="35"/>
      <c r="AB499" s="35"/>
    </row>
    <row r="500" spans="1:28" x14ac:dyDescent="0.25">
      <c r="A500" s="68" t="str">
        <f t="shared" si="24"/>
        <v>405188</v>
      </c>
      <c r="B500" s="10">
        <f t="shared" si="25"/>
        <v>656.49635999999998</v>
      </c>
      <c r="C500" s="77" t="s">
        <v>5155</v>
      </c>
      <c r="D500" s="191" t="str">
        <f t="shared" si="23"/>
        <v>StrongLumio napájecí zdroj plochý pro LED 24V, 75W</v>
      </c>
      <c r="E500" s="77" t="s">
        <v>2271</v>
      </c>
      <c r="F500" s="77" t="s">
        <v>2272</v>
      </c>
      <c r="G500" s="77" t="s">
        <v>2274</v>
      </c>
      <c r="H500" s="77" t="s">
        <v>2273</v>
      </c>
      <c r="I500" s="77" t="s">
        <v>795</v>
      </c>
      <c r="J500" s="90">
        <v>20</v>
      </c>
      <c r="K500" s="91">
        <v>1</v>
      </c>
      <c r="L500" s="77" t="s">
        <v>227</v>
      </c>
      <c r="M500" s="78">
        <v>656.49635999999998</v>
      </c>
      <c r="N500" s="79">
        <v>26.953119999999998</v>
      </c>
      <c r="O500" s="79">
        <v>80.659080000000003</v>
      </c>
      <c r="P500" s="79">
        <v>7460</v>
      </c>
      <c r="Q500" s="77"/>
      <c r="R500" s="77"/>
      <c r="S500" s="77"/>
      <c r="T500" s="77"/>
      <c r="U500" s="77"/>
      <c r="V500" s="87"/>
      <c r="W500" s="87"/>
      <c r="X500" s="87"/>
      <c r="Y500" s="77"/>
      <c r="Z500" s="88"/>
      <c r="AA500" s="35"/>
      <c r="AB500" s="35"/>
    </row>
    <row r="501" spans="1:28" x14ac:dyDescent="0.25">
      <c r="A501" s="68" t="str">
        <f t="shared" si="24"/>
        <v>284624</v>
      </c>
      <c r="B501" s="10">
        <f t="shared" si="25"/>
        <v>885.79435999999998</v>
      </c>
      <c r="C501" s="77" t="s">
        <v>5156</v>
      </c>
      <c r="D501" s="191" t="str">
        <f t="shared" si="23"/>
        <v>StrongLumio napájecí zdroj plochý pro LED, 24V 100W</v>
      </c>
      <c r="E501" s="77" t="s">
        <v>2275</v>
      </c>
      <c r="F501" s="77" t="s">
        <v>2276</v>
      </c>
      <c r="G501" s="77" t="s">
        <v>2278</v>
      </c>
      <c r="H501" s="77" t="s">
        <v>2277</v>
      </c>
      <c r="I501" s="77" t="s">
        <v>795</v>
      </c>
      <c r="J501" s="90">
        <v>50</v>
      </c>
      <c r="K501" s="91">
        <v>1</v>
      </c>
      <c r="L501" s="77" t="s">
        <v>227</v>
      </c>
      <c r="M501" s="78">
        <v>885.79435999999998</v>
      </c>
      <c r="N501" s="79">
        <v>36.36721</v>
      </c>
      <c r="O501" s="79">
        <v>108.83128000000001</v>
      </c>
      <c r="P501" s="79">
        <v>10065</v>
      </c>
      <c r="Q501" s="77"/>
      <c r="R501" s="77"/>
      <c r="S501" s="77"/>
      <c r="T501" s="77"/>
      <c r="U501" s="77"/>
      <c r="V501" s="87"/>
      <c r="W501" s="87"/>
      <c r="X501" s="87"/>
      <c r="Y501" s="77"/>
      <c r="Z501" s="88"/>
      <c r="AA501" s="35"/>
      <c r="AB501" s="35"/>
    </row>
    <row r="502" spans="1:28" x14ac:dyDescent="0.25">
      <c r="A502" s="68" t="str">
        <f t="shared" si="24"/>
        <v>544898</v>
      </c>
      <c r="B502" s="10">
        <f t="shared" si="25"/>
        <v>241.36199999999999</v>
      </c>
      <c r="C502" s="77" t="s">
        <v>5157</v>
      </c>
      <c r="D502" s="191" t="str">
        <f t="shared" si="23"/>
        <v>StrongLumio napájecí zdroj pro LED 12V - 24W do zásuvky</v>
      </c>
      <c r="E502" s="77" t="s">
        <v>2279</v>
      </c>
      <c r="F502" s="77" t="s">
        <v>2280</v>
      </c>
      <c r="G502" s="77" t="s">
        <v>2282</v>
      </c>
      <c r="H502" s="77" t="s">
        <v>2281</v>
      </c>
      <c r="I502" s="77" t="s">
        <v>795</v>
      </c>
      <c r="J502" s="90">
        <v>100</v>
      </c>
      <c r="K502" s="91">
        <v>1</v>
      </c>
      <c r="L502" s="77" t="s">
        <v>227</v>
      </c>
      <c r="M502" s="78">
        <v>241.36199999999999</v>
      </c>
      <c r="N502" s="79">
        <v>8.5329999999999995</v>
      </c>
      <c r="O502" s="79">
        <v>22.87969</v>
      </c>
      <c r="P502" s="79">
        <v>2456.3980999999999</v>
      </c>
      <c r="Q502" s="77"/>
      <c r="R502" s="77"/>
      <c r="S502" s="77"/>
      <c r="T502" s="77"/>
      <c r="U502" s="77"/>
      <c r="V502" s="87"/>
      <c r="W502" s="87"/>
      <c r="X502" s="87"/>
      <c r="Y502" s="77"/>
      <c r="Z502" s="88"/>
      <c r="AA502" s="35"/>
      <c r="AB502" s="35"/>
    </row>
    <row r="503" spans="1:28" x14ac:dyDescent="0.25">
      <c r="A503" s="68" t="str">
        <f t="shared" si="24"/>
        <v>544900</v>
      </c>
      <c r="B503" s="10">
        <f t="shared" si="25"/>
        <v>362.04300000000001</v>
      </c>
      <c r="C503" s="77" t="s">
        <v>5158</v>
      </c>
      <c r="D503" s="191" t="str">
        <f t="shared" si="23"/>
        <v>StrongLumio napájecí zdroj pro LED 12V - 36W do zásuvky</v>
      </c>
      <c r="E503" s="77" t="s">
        <v>2283</v>
      </c>
      <c r="F503" s="77" t="s">
        <v>2284</v>
      </c>
      <c r="G503" s="77" t="s">
        <v>2286</v>
      </c>
      <c r="H503" s="77" t="s">
        <v>2285</v>
      </c>
      <c r="I503" s="77" t="s">
        <v>795</v>
      </c>
      <c r="J503" s="90">
        <v>50</v>
      </c>
      <c r="K503" s="91">
        <v>1</v>
      </c>
      <c r="L503" s="77" t="s">
        <v>227</v>
      </c>
      <c r="M503" s="78">
        <v>362.04300000000001</v>
      </c>
      <c r="N503" s="79">
        <v>12.7995</v>
      </c>
      <c r="O503" s="79">
        <v>34.319540000000003</v>
      </c>
      <c r="P503" s="79">
        <v>3626.11148</v>
      </c>
      <c r="Q503" s="77"/>
      <c r="R503" s="77"/>
      <c r="S503" s="77"/>
      <c r="T503" s="77"/>
      <c r="U503" s="77"/>
      <c r="V503" s="87"/>
      <c r="W503" s="87"/>
      <c r="X503" s="87"/>
      <c r="Y503" s="77"/>
      <c r="Z503" s="88"/>
      <c r="AA503" s="35"/>
      <c r="AB503" s="35"/>
    </row>
    <row r="504" spans="1:28" x14ac:dyDescent="0.25">
      <c r="A504" s="68" t="str">
        <f t="shared" si="24"/>
        <v>353250</v>
      </c>
      <c r="B504" s="10">
        <f t="shared" si="25"/>
        <v>599</v>
      </c>
      <c r="C504" s="77" t="s">
        <v>5159</v>
      </c>
      <c r="D504" s="191" t="str">
        <f t="shared" si="23"/>
        <v>StrongLumio napájecí zdroj pro LED 12V, 120W</v>
      </c>
      <c r="E504" s="77" t="s">
        <v>2287</v>
      </c>
      <c r="F504" s="77" t="s">
        <v>2288</v>
      </c>
      <c r="G504" s="77" t="s">
        <v>2290</v>
      </c>
      <c r="H504" s="77" t="s">
        <v>2289</v>
      </c>
      <c r="I504" s="77" t="s">
        <v>795</v>
      </c>
      <c r="J504" s="90">
        <v>20</v>
      </c>
      <c r="K504" s="91">
        <v>1</v>
      </c>
      <c r="L504" s="77" t="s">
        <v>160</v>
      </c>
      <c r="M504" s="78">
        <v>599</v>
      </c>
      <c r="N504" s="79">
        <v>29</v>
      </c>
      <c r="O504" s="79">
        <v>118.50131</v>
      </c>
      <c r="P504" s="79">
        <v>10000</v>
      </c>
      <c r="Q504" s="77"/>
      <c r="R504" s="77"/>
      <c r="S504" s="77"/>
      <c r="T504" s="77"/>
      <c r="U504" s="77"/>
      <c r="V504" s="87"/>
      <c r="W504" s="87"/>
      <c r="X504" s="87"/>
      <c r="Y504" s="77"/>
      <c r="Z504" s="88"/>
      <c r="AA504" s="35"/>
      <c r="AB504" s="35"/>
    </row>
    <row r="505" spans="1:28" x14ac:dyDescent="0.25">
      <c r="A505" s="68" t="str">
        <f t="shared" si="24"/>
        <v>405179</v>
      </c>
      <c r="B505" s="10">
        <f t="shared" si="25"/>
        <v>393.822</v>
      </c>
      <c r="C505" s="77" t="s">
        <v>5160</v>
      </c>
      <c r="D505" s="191" t="str">
        <f t="shared" si="23"/>
        <v>StrongLumio napájecí zdroj pro LED 12V, 18W</v>
      </c>
      <c r="E505" s="77" t="s">
        <v>2291</v>
      </c>
      <c r="F505" s="77" t="s">
        <v>2292</v>
      </c>
      <c r="G505" s="77" t="s">
        <v>2294</v>
      </c>
      <c r="H505" s="77" t="s">
        <v>2293</v>
      </c>
      <c r="I505" s="77" t="s">
        <v>795</v>
      </c>
      <c r="J505" s="90">
        <v>50</v>
      </c>
      <c r="K505" s="91">
        <v>1</v>
      </c>
      <c r="L505" s="77" t="s">
        <v>160</v>
      </c>
      <c r="M505" s="78">
        <v>393.822</v>
      </c>
      <c r="N505" s="79">
        <v>13.61609</v>
      </c>
      <c r="O505" s="79">
        <v>36.53978</v>
      </c>
      <c r="P505" s="79">
        <v>4475.2500099999997</v>
      </c>
      <c r="Q505" s="77"/>
      <c r="R505" s="77"/>
      <c r="S505" s="77"/>
      <c r="T505" s="77"/>
      <c r="U505" s="77"/>
      <c r="V505" s="87"/>
      <c r="W505" s="87"/>
      <c r="X505" s="87"/>
      <c r="Y505" s="77"/>
      <c r="Z505" s="88"/>
      <c r="AA505" s="35"/>
      <c r="AB505" s="35"/>
    </row>
    <row r="506" spans="1:28" x14ac:dyDescent="0.25">
      <c r="A506" s="68" t="str">
        <f t="shared" si="24"/>
        <v>405180</v>
      </c>
      <c r="B506" s="10">
        <f t="shared" si="25"/>
        <v>440.154</v>
      </c>
      <c r="C506" s="77" t="s">
        <v>5161</v>
      </c>
      <c r="D506" s="191" t="str">
        <f t="shared" si="23"/>
        <v>StrongLumio napájecí zdroj pro LED 12V, 30W</v>
      </c>
      <c r="E506" s="77" t="s">
        <v>2295</v>
      </c>
      <c r="F506" s="77" t="s">
        <v>2296</v>
      </c>
      <c r="G506" s="77" t="s">
        <v>2298</v>
      </c>
      <c r="H506" s="77" t="s">
        <v>2297</v>
      </c>
      <c r="I506" s="77" t="s">
        <v>795</v>
      </c>
      <c r="J506" s="90">
        <v>50</v>
      </c>
      <c r="K506" s="91">
        <v>1</v>
      </c>
      <c r="L506" s="77" t="s">
        <v>160</v>
      </c>
      <c r="M506" s="78">
        <v>440.154</v>
      </c>
      <c r="N506" s="79">
        <v>15.217969999999999</v>
      </c>
      <c r="O506" s="79">
        <v>40.388019999999997</v>
      </c>
      <c r="P506" s="79">
        <v>5001.7499900000003</v>
      </c>
      <c r="Q506" s="77"/>
      <c r="R506" s="77"/>
      <c r="S506" s="77"/>
      <c r="T506" s="77"/>
      <c r="U506" s="77"/>
      <c r="V506" s="87"/>
      <c r="W506" s="87"/>
      <c r="X506" s="87"/>
      <c r="Y506" s="77"/>
      <c r="Z506" s="88"/>
      <c r="AA506" s="35"/>
      <c r="AB506" s="35"/>
    </row>
    <row r="507" spans="1:28" x14ac:dyDescent="0.25">
      <c r="A507" s="68" t="str">
        <f t="shared" si="24"/>
        <v>405181</v>
      </c>
      <c r="B507" s="10">
        <f t="shared" si="25"/>
        <v>683.39700000000005</v>
      </c>
      <c r="C507" s="77" t="s">
        <v>5162</v>
      </c>
      <c r="D507" s="191" t="str">
        <f t="shared" si="23"/>
        <v>StrongLumio napájecí zdroj pro LED 12V, 48W</v>
      </c>
      <c r="E507" s="77" t="s">
        <v>2299</v>
      </c>
      <c r="F507" s="77" t="s">
        <v>2300</v>
      </c>
      <c r="G507" s="77" t="s">
        <v>2302</v>
      </c>
      <c r="H507" s="77" t="s">
        <v>2301</v>
      </c>
      <c r="I507" s="77" t="s">
        <v>795</v>
      </c>
      <c r="J507" s="90">
        <v>20</v>
      </c>
      <c r="K507" s="91">
        <v>1</v>
      </c>
      <c r="L507" s="77" t="s">
        <v>160</v>
      </c>
      <c r="M507" s="78">
        <v>683.39700000000005</v>
      </c>
      <c r="N507" s="79">
        <v>23.62791</v>
      </c>
      <c r="O507" s="79">
        <v>66.365750000000006</v>
      </c>
      <c r="P507" s="79">
        <v>7765.8749900000003</v>
      </c>
      <c r="Q507" s="77"/>
      <c r="R507" s="77"/>
      <c r="S507" s="77"/>
      <c r="T507" s="77"/>
      <c r="U507" s="77"/>
      <c r="V507" s="87"/>
      <c r="W507" s="87"/>
      <c r="X507" s="87"/>
      <c r="Y507" s="77"/>
      <c r="Z507" s="88"/>
      <c r="AA507" s="35"/>
      <c r="AB507" s="35"/>
    </row>
    <row r="508" spans="1:28" x14ac:dyDescent="0.25">
      <c r="A508" s="68" t="str">
        <f t="shared" si="24"/>
        <v>405178</v>
      </c>
      <c r="B508" s="10">
        <f t="shared" si="25"/>
        <v>173.745</v>
      </c>
      <c r="C508" s="77" t="s">
        <v>5163</v>
      </c>
      <c r="D508" s="191" t="str">
        <f t="shared" si="23"/>
        <v>StrongLumio napájecí zdroj pro LED 12V, 6W do zásuvky</v>
      </c>
      <c r="E508" s="77" t="s">
        <v>2303</v>
      </c>
      <c r="F508" s="77" t="s">
        <v>2304</v>
      </c>
      <c r="G508" s="77" t="s">
        <v>2306</v>
      </c>
      <c r="H508" s="77" t="s">
        <v>2305</v>
      </c>
      <c r="I508" s="77" t="s">
        <v>795</v>
      </c>
      <c r="J508" s="90">
        <v>100</v>
      </c>
      <c r="K508" s="91">
        <v>1</v>
      </c>
      <c r="L508" s="77" t="s">
        <v>160</v>
      </c>
      <c r="M508" s="78">
        <v>173.745</v>
      </c>
      <c r="N508" s="79">
        <v>6.0070899999999998</v>
      </c>
      <c r="O508" s="79">
        <v>16.19284</v>
      </c>
      <c r="P508" s="79">
        <v>1974.37499</v>
      </c>
      <c r="Q508" s="77"/>
      <c r="R508" s="77"/>
      <c r="S508" s="77"/>
      <c r="T508" s="77"/>
      <c r="U508" s="77"/>
      <c r="V508" s="87"/>
      <c r="W508" s="87"/>
      <c r="X508" s="87"/>
      <c r="Y508" s="77"/>
      <c r="Z508" s="88"/>
      <c r="AA508" s="35"/>
      <c r="AB508" s="35"/>
    </row>
    <row r="509" spans="1:28" x14ac:dyDescent="0.25">
      <c r="A509" s="68" t="str">
        <f t="shared" si="24"/>
        <v>405182</v>
      </c>
      <c r="B509" s="10">
        <f t="shared" si="25"/>
        <v>868.72500000000002</v>
      </c>
      <c r="C509" s="77" t="s">
        <v>5164</v>
      </c>
      <c r="D509" s="191" t="str">
        <f t="shared" si="23"/>
        <v>StrongLumio napájecí zdroj pro LED 12V, 80W</v>
      </c>
      <c r="E509" s="77" t="s">
        <v>2307</v>
      </c>
      <c r="F509" s="77" t="s">
        <v>2308</v>
      </c>
      <c r="G509" s="77" t="s">
        <v>2310</v>
      </c>
      <c r="H509" s="77" t="s">
        <v>2309</v>
      </c>
      <c r="I509" s="77" t="s">
        <v>795</v>
      </c>
      <c r="J509" s="90">
        <v>50</v>
      </c>
      <c r="K509" s="91">
        <v>1</v>
      </c>
      <c r="L509" s="77" t="s">
        <v>160</v>
      </c>
      <c r="M509" s="78">
        <v>868.72500000000002</v>
      </c>
      <c r="N509" s="79">
        <v>30.035499999999999</v>
      </c>
      <c r="O509" s="79">
        <v>83.898939999999996</v>
      </c>
      <c r="P509" s="79">
        <v>9871.875</v>
      </c>
      <c r="Q509" s="77"/>
      <c r="R509" s="77"/>
      <c r="S509" s="77"/>
      <c r="T509" s="77"/>
      <c r="U509" s="77"/>
      <c r="V509" s="87"/>
      <c r="W509" s="87"/>
      <c r="X509" s="87"/>
      <c r="Y509" s="77"/>
      <c r="Z509" s="88"/>
      <c r="AA509" s="35"/>
      <c r="AB509" s="35"/>
    </row>
    <row r="510" spans="1:28" x14ac:dyDescent="0.25">
      <c r="A510" s="68" t="str">
        <f t="shared" si="24"/>
        <v>544899</v>
      </c>
      <c r="B510" s="10">
        <f t="shared" si="25"/>
        <v>241.36199999999999</v>
      </c>
      <c r="C510" s="77" t="s">
        <v>5165</v>
      </c>
      <c r="D510" s="191" t="str">
        <f t="shared" si="23"/>
        <v>StrongLumio napájecí zdroj pro LED 24V - 24W do zásuvky</v>
      </c>
      <c r="E510" s="77" t="s">
        <v>2311</v>
      </c>
      <c r="F510" s="77" t="s">
        <v>2312</v>
      </c>
      <c r="G510" s="77" t="s">
        <v>2314</v>
      </c>
      <c r="H510" s="77" t="s">
        <v>2313</v>
      </c>
      <c r="I510" s="77" t="s">
        <v>795</v>
      </c>
      <c r="J510" s="90">
        <v>100</v>
      </c>
      <c r="K510" s="91">
        <v>1</v>
      </c>
      <c r="L510" s="77" t="s">
        <v>227</v>
      </c>
      <c r="M510" s="78">
        <v>241.36199999999999</v>
      </c>
      <c r="N510" s="79">
        <v>8.5329999999999995</v>
      </c>
      <c r="O510" s="79">
        <v>22.87969</v>
      </c>
      <c r="P510" s="79">
        <v>2456.3980999999999</v>
      </c>
      <c r="Q510" s="77"/>
      <c r="R510" s="77"/>
      <c r="S510" s="77"/>
      <c r="T510" s="77"/>
      <c r="U510" s="77"/>
      <c r="V510" s="87"/>
      <c r="W510" s="87"/>
      <c r="X510" s="87"/>
      <c r="Y510" s="77"/>
      <c r="Z510" s="88"/>
      <c r="AA510" s="35"/>
      <c r="AB510" s="35"/>
    </row>
    <row r="511" spans="1:28" x14ac:dyDescent="0.25">
      <c r="A511" s="68" t="str">
        <f t="shared" si="24"/>
        <v>544901</v>
      </c>
      <c r="B511" s="10">
        <f t="shared" si="25"/>
        <v>346.30200000000002</v>
      </c>
      <c r="C511" s="77" t="s">
        <v>5166</v>
      </c>
      <c r="D511" s="191" t="str">
        <f t="shared" si="23"/>
        <v>StrongLumio napájecí zdroj pro LED 24V - 36W do zásuvky</v>
      </c>
      <c r="E511" s="77" t="s">
        <v>2315</v>
      </c>
      <c r="F511" s="77" t="s">
        <v>2316</v>
      </c>
      <c r="G511" s="77" t="s">
        <v>2318</v>
      </c>
      <c r="H511" s="77" t="s">
        <v>2317</v>
      </c>
      <c r="I511" s="77" t="s">
        <v>795</v>
      </c>
      <c r="J511" s="90">
        <v>50</v>
      </c>
      <c r="K511" s="91">
        <v>1</v>
      </c>
      <c r="L511" s="77" t="s">
        <v>227</v>
      </c>
      <c r="M511" s="78">
        <v>346.30200000000002</v>
      </c>
      <c r="N511" s="79">
        <v>12.243</v>
      </c>
      <c r="O511" s="79">
        <v>32.827390000000001</v>
      </c>
      <c r="P511" s="79">
        <v>3450.6544600000002</v>
      </c>
      <c r="Q511" s="77"/>
      <c r="R511" s="77"/>
      <c r="S511" s="77"/>
      <c r="T511" s="77"/>
      <c r="U511" s="77"/>
      <c r="V511" s="87"/>
      <c r="W511" s="87"/>
      <c r="X511" s="87"/>
      <c r="Y511" s="77"/>
      <c r="Z511" s="88"/>
      <c r="AA511" s="35"/>
      <c r="AB511" s="35"/>
    </row>
    <row r="512" spans="1:28" x14ac:dyDescent="0.25">
      <c r="A512" s="68" t="str">
        <f t="shared" si="24"/>
        <v>405173</v>
      </c>
      <c r="B512" s="10">
        <f t="shared" si="25"/>
        <v>414.375</v>
      </c>
      <c r="C512" s="77" t="s">
        <v>5167</v>
      </c>
      <c r="D512" s="191" t="str">
        <f t="shared" si="23"/>
        <v>StrongLumio napájecí zdroj pro LED 24V 75W Jack/6xMINI</v>
      </c>
      <c r="E512" s="77" t="s">
        <v>2319</v>
      </c>
      <c r="F512" s="77" t="s">
        <v>2320</v>
      </c>
      <c r="G512" s="77" t="s">
        <v>2322</v>
      </c>
      <c r="H512" s="77" t="s">
        <v>2321</v>
      </c>
      <c r="I512" s="77" t="s">
        <v>795</v>
      </c>
      <c r="J512" s="90">
        <v>20</v>
      </c>
      <c r="K512" s="91">
        <v>1</v>
      </c>
      <c r="L512" s="77" t="s">
        <v>160</v>
      </c>
      <c r="M512" s="78">
        <v>414.375</v>
      </c>
      <c r="N512" s="79">
        <v>19.079139999999999</v>
      </c>
      <c r="O512" s="79">
        <v>78.586079999999995</v>
      </c>
      <c r="P512" s="79">
        <v>6450.7438499999998</v>
      </c>
      <c r="Q512" s="77"/>
      <c r="R512" s="77"/>
      <c r="S512" s="77"/>
      <c r="T512" s="77"/>
      <c r="U512" s="77"/>
      <c r="V512" s="87"/>
      <c r="W512" s="87"/>
      <c r="X512" s="87"/>
      <c r="Y512" s="77"/>
      <c r="Z512" s="88"/>
      <c r="AA512" s="35"/>
      <c r="AB512" s="35"/>
    </row>
    <row r="513" spans="1:28" x14ac:dyDescent="0.25">
      <c r="A513" s="68" t="str">
        <f t="shared" si="24"/>
        <v>284620</v>
      </c>
      <c r="B513" s="10">
        <f t="shared" si="25"/>
        <v>1945.944</v>
      </c>
      <c r="C513" s="77" t="s">
        <v>5168</v>
      </c>
      <c r="D513" s="191" t="str">
        <f t="shared" si="23"/>
        <v>StrongLumio napájecí zdroj pro LED 24V, 120W</v>
      </c>
      <c r="E513" s="77" t="s">
        <v>2323</v>
      </c>
      <c r="F513" s="77" t="s">
        <v>2324</v>
      </c>
      <c r="G513" s="77" t="s">
        <v>2326</v>
      </c>
      <c r="H513" s="77" t="s">
        <v>2325</v>
      </c>
      <c r="I513" s="77" t="s">
        <v>795</v>
      </c>
      <c r="J513" s="90">
        <v>20</v>
      </c>
      <c r="K513" s="91">
        <v>1</v>
      </c>
      <c r="L513" s="77" t="s">
        <v>160</v>
      </c>
      <c r="M513" s="78">
        <v>1945.944</v>
      </c>
      <c r="N513" s="79">
        <v>67.279449999999997</v>
      </c>
      <c r="O513" s="79">
        <v>189.37974</v>
      </c>
      <c r="P513" s="79">
        <v>22113</v>
      </c>
      <c r="Q513" s="77"/>
      <c r="R513" s="77"/>
      <c r="S513" s="77"/>
      <c r="T513" s="77"/>
      <c r="U513" s="77"/>
      <c r="V513" s="87"/>
      <c r="W513" s="87"/>
      <c r="X513" s="87"/>
      <c r="Y513" s="77"/>
      <c r="Z513" s="88"/>
      <c r="AA513" s="35"/>
      <c r="AB513" s="35"/>
    </row>
    <row r="514" spans="1:28" x14ac:dyDescent="0.25">
      <c r="A514" s="68" t="str">
        <f t="shared" si="24"/>
        <v>284616</v>
      </c>
      <c r="B514" s="10">
        <f t="shared" si="25"/>
        <v>370.65600000000001</v>
      </c>
      <c r="C514" s="77" t="s">
        <v>5169</v>
      </c>
      <c r="D514" s="191" t="str">
        <f t="shared" si="23"/>
        <v>StrongLumio napájecí zdroj pro LED 24V, 18W</v>
      </c>
      <c r="E514" s="77" t="s">
        <v>2327</v>
      </c>
      <c r="F514" s="77" t="s">
        <v>2328</v>
      </c>
      <c r="G514" s="77" t="s">
        <v>2330</v>
      </c>
      <c r="H514" s="77" t="s">
        <v>2329</v>
      </c>
      <c r="I514" s="77" t="s">
        <v>795</v>
      </c>
      <c r="J514" s="90">
        <v>50</v>
      </c>
      <c r="K514" s="91">
        <v>1</v>
      </c>
      <c r="L514" s="77" t="s">
        <v>160</v>
      </c>
      <c r="M514" s="78">
        <v>370.65600000000001</v>
      </c>
      <c r="N514" s="79">
        <v>12.815110000000001</v>
      </c>
      <c r="O514" s="79">
        <v>35.38326</v>
      </c>
      <c r="P514" s="79">
        <v>4212.0000099999997</v>
      </c>
      <c r="Q514" s="77"/>
      <c r="R514" s="77"/>
      <c r="S514" s="77"/>
      <c r="T514" s="77"/>
      <c r="U514" s="77"/>
      <c r="V514" s="87"/>
      <c r="W514" s="87"/>
      <c r="X514" s="87"/>
      <c r="Y514" s="77"/>
      <c r="Z514" s="88"/>
      <c r="AA514" s="35"/>
      <c r="AB514" s="35"/>
    </row>
    <row r="515" spans="1:28" x14ac:dyDescent="0.25">
      <c r="A515" s="68" t="str">
        <f t="shared" si="24"/>
        <v>284617</v>
      </c>
      <c r="B515" s="10">
        <f t="shared" si="25"/>
        <v>451.73700000000002</v>
      </c>
      <c r="C515" s="77" t="s">
        <v>5170</v>
      </c>
      <c r="D515" s="191" t="str">
        <f t="shared" ref="D515:D578" si="26">IF($B$1=1,E515,IF($B$1=2,F515,IF($B$1=3,G515,IF($B$1=4,H515))))</f>
        <v>StrongLumio napájecí zdroj pro LED 24V, 30W</v>
      </c>
      <c r="E515" s="77" t="s">
        <v>2331</v>
      </c>
      <c r="F515" s="77" t="s">
        <v>2332</v>
      </c>
      <c r="G515" s="77" t="s">
        <v>2334</v>
      </c>
      <c r="H515" s="77" t="s">
        <v>2333</v>
      </c>
      <c r="I515" s="77" t="s">
        <v>795</v>
      </c>
      <c r="J515" s="90">
        <v>50</v>
      </c>
      <c r="K515" s="91">
        <v>1</v>
      </c>
      <c r="L515" s="77" t="s">
        <v>160</v>
      </c>
      <c r="M515" s="78">
        <v>451.73700000000002</v>
      </c>
      <c r="N515" s="79">
        <v>15.61847</v>
      </c>
      <c r="O515" s="79">
        <v>43.476089999999999</v>
      </c>
      <c r="P515" s="79">
        <v>5133.3750099999997</v>
      </c>
      <c r="Q515" s="77"/>
      <c r="R515" s="77"/>
      <c r="S515" s="77"/>
      <c r="T515" s="77"/>
      <c r="U515" s="77"/>
      <c r="V515" s="87"/>
      <c r="W515" s="87"/>
      <c r="X515" s="87"/>
      <c r="Y515" s="77"/>
      <c r="Z515" s="88"/>
      <c r="AA515" s="35"/>
      <c r="AB515" s="35"/>
    </row>
    <row r="516" spans="1:28" x14ac:dyDescent="0.25">
      <c r="A516" s="68" t="str">
        <f t="shared" si="24"/>
        <v>284618</v>
      </c>
      <c r="B516" s="10">
        <f t="shared" si="25"/>
        <v>683.39700000000005</v>
      </c>
      <c r="C516" s="77" t="s">
        <v>5171</v>
      </c>
      <c r="D516" s="191" t="str">
        <f t="shared" si="26"/>
        <v>StrongLumio napájecí zdroj pro LED 24V, 60W</v>
      </c>
      <c r="E516" s="77" t="s">
        <v>2335</v>
      </c>
      <c r="F516" s="77" t="s">
        <v>2336</v>
      </c>
      <c r="G516" s="77" t="s">
        <v>2338</v>
      </c>
      <c r="H516" s="77" t="s">
        <v>2337</v>
      </c>
      <c r="I516" s="77" t="s">
        <v>795</v>
      </c>
      <c r="J516" s="90">
        <v>50</v>
      </c>
      <c r="K516" s="91">
        <v>1</v>
      </c>
      <c r="L516" s="77" t="s">
        <v>160</v>
      </c>
      <c r="M516" s="78">
        <v>683.39700000000005</v>
      </c>
      <c r="N516" s="79">
        <v>23.62791</v>
      </c>
      <c r="O516" s="79">
        <v>65.925200000000004</v>
      </c>
      <c r="P516" s="79">
        <v>7765.8749900000003</v>
      </c>
      <c r="Q516" s="77"/>
      <c r="R516" s="77"/>
      <c r="S516" s="77"/>
      <c r="T516" s="77"/>
      <c r="U516" s="77"/>
      <c r="V516" s="87"/>
      <c r="W516" s="87"/>
      <c r="X516" s="87"/>
      <c r="Y516" s="77"/>
      <c r="Z516" s="88"/>
      <c r="AA516" s="35"/>
      <c r="AB516" s="35"/>
    </row>
    <row r="517" spans="1:28" x14ac:dyDescent="0.25">
      <c r="A517" s="68" t="str">
        <f t="shared" si="24"/>
        <v>284619</v>
      </c>
      <c r="B517" s="10">
        <f t="shared" si="25"/>
        <v>833.976</v>
      </c>
      <c r="C517" s="77" t="s">
        <v>5172</v>
      </c>
      <c r="D517" s="191" t="str">
        <f t="shared" si="26"/>
        <v>StrongLumio napájecí zdroj pro LED 24V, 80W</v>
      </c>
      <c r="E517" s="77" t="s">
        <v>2339</v>
      </c>
      <c r="F517" s="77" t="s">
        <v>2340</v>
      </c>
      <c r="G517" s="77" t="s">
        <v>2342</v>
      </c>
      <c r="H517" s="77" t="s">
        <v>2341</v>
      </c>
      <c r="I517" s="77" t="s">
        <v>795</v>
      </c>
      <c r="J517" s="90">
        <v>50</v>
      </c>
      <c r="K517" s="91">
        <v>1</v>
      </c>
      <c r="L517" s="77" t="s">
        <v>160</v>
      </c>
      <c r="M517" s="78">
        <v>833.976</v>
      </c>
      <c r="N517" s="79">
        <v>28.83409</v>
      </c>
      <c r="O517" s="79">
        <v>81.437690000000003</v>
      </c>
      <c r="P517" s="79">
        <v>9477</v>
      </c>
      <c r="Q517" s="77"/>
      <c r="R517" s="77"/>
      <c r="S517" s="77"/>
      <c r="T517" s="77"/>
      <c r="U517" s="77"/>
      <c r="V517" s="87"/>
      <c r="W517" s="87"/>
      <c r="X517" s="87"/>
      <c r="Y517" s="77"/>
      <c r="Z517" s="88"/>
      <c r="AA517" s="35"/>
      <c r="AB517" s="35"/>
    </row>
    <row r="518" spans="1:28" x14ac:dyDescent="0.25">
      <c r="A518" s="68" t="str">
        <f t="shared" si="24"/>
        <v>467122</v>
      </c>
      <c r="B518" s="10">
        <f t="shared" si="25"/>
        <v>304.2</v>
      </c>
      <c r="C518" s="77" t="s">
        <v>5173</v>
      </c>
      <c r="D518" s="191" t="str">
        <f t="shared" si="26"/>
        <v>StrongLumio nástěnný ovladač LED - CCT</v>
      </c>
      <c r="E518" s="77" t="s">
        <v>2343</v>
      </c>
      <c r="F518" s="77" t="s">
        <v>2344</v>
      </c>
      <c r="G518" s="77" t="s">
        <v>2346</v>
      </c>
      <c r="H518" s="77" t="s">
        <v>2345</v>
      </c>
      <c r="I518" s="77" t="s">
        <v>795</v>
      </c>
      <c r="J518" s="90">
        <v>50</v>
      </c>
      <c r="K518" s="91">
        <v>1</v>
      </c>
      <c r="L518" s="77" t="s">
        <v>227</v>
      </c>
      <c r="M518" s="78">
        <v>304.2</v>
      </c>
      <c r="N518" s="79">
        <v>13.655469999999999</v>
      </c>
      <c r="O518" s="79">
        <v>60.343649999999997</v>
      </c>
      <c r="P518" s="79">
        <v>4938.3116900000005</v>
      </c>
      <c r="Q518" s="77"/>
      <c r="R518" s="77"/>
      <c r="S518" s="77"/>
      <c r="T518" s="77"/>
      <c r="U518" s="77"/>
      <c r="V518" s="87"/>
      <c r="W518" s="87"/>
      <c r="X518" s="87"/>
      <c r="Y518" s="77"/>
      <c r="Z518" s="88"/>
      <c r="AA518" s="35"/>
      <c r="AB518" s="35"/>
    </row>
    <row r="519" spans="1:28" x14ac:dyDescent="0.25">
      <c r="A519" s="68" t="str">
        <f t="shared" si="24"/>
        <v>467123</v>
      </c>
      <c r="B519" s="10">
        <f t="shared" si="25"/>
        <v>304.2</v>
      </c>
      <c r="C519" s="77" t="s">
        <v>5174</v>
      </c>
      <c r="D519" s="191" t="str">
        <f t="shared" si="26"/>
        <v>StrongLumio nástěnný ovladač LED - RGB</v>
      </c>
      <c r="E519" s="77" t="s">
        <v>2347</v>
      </c>
      <c r="F519" s="77" t="s">
        <v>2348</v>
      </c>
      <c r="G519" s="77" t="s">
        <v>2350</v>
      </c>
      <c r="H519" s="77" t="s">
        <v>2349</v>
      </c>
      <c r="I519" s="77" t="s">
        <v>795</v>
      </c>
      <c r="J519" s="90">
        <v>50</v>
      </c>
      <c r="K519" s="91">
        <v>1</v>
      </c>
      <c r="L519" s="77" t="s">
        <v>227</v>
      </c>
      <c r="M519" s="78">
        <v>304.2</v>
      </c>
      <c r="N519" s="79">
        <v>13.655469999999999</v>
      </c>
      <c r="O519" s="79">
        <v>59.618609999999997</v>
      </c>
      <c r="P519" s="79">
        <v>4938.3116900000005</v>
      </c>
      <c r="Q519" s="77"/>
      <c r="R519" s="77"/>
      <c r="S519" s="77"/>
      <c r="T519" s="77"/>
      <c r="U519" s="77"/>
      <c r="V519" s="87"/>
      <c r="W519" s="87"/>
      <c r="X519" s="87"/>
      <c r="Y519" s="77"/>
      <c r="Z519" s="88"/>
      <c r="AA519" s="35"/>
      <c r="AB519" s="35"/>
    </row>
    <row r="520" spans="1:28" x14ac:dyDescent="0.25">
      <c r="A520" s="68" t="str">
        <f t="shared" si="24"/>
        <v>467124</v>
      </c>
      <c r="B520" s="10">
        <f t="shared" si="25"/>
        <v>304.2</v>
      </c>
      <c r="C520" s="77" t="s">
        <v>5175</v>
      </c>
      <c r="D520" s="191" t="str">
        <f t="shared" si="26"/>
        <v>StrongLumio nástěnný ovladač LED - RGBW</v>
      </c>
      <c r="E520" s="77" t="s">
        <v>2351</v>
      </c>
      <c r="F520" s="77" t="s">
        <v>2352</v>
      </c>
      <c r="G520" s="77" t="s">
        <v>2354</v>
      </c>
      <c r="H520" s="77" t="s">
        <v>2353</v>
      </c>
      <c r="I520" s="77" t="s">
        <v>795</v>
      </c>
      <c r="J520" s="90">
        <v>50</v>
      </c>
      <c r="K520" s="91">
        <v>1</v>
      </c>
      <c r="L520" s="77" t="s">
        <v>227</v>
      </c>
      <c r="M520" s="78">
        <v>304.2</v>
      </c>
      <c r="N520" s="79">
        <v>13.655469999999999</v>
      </c>
      <c r="O520" s="79">
        <v>59.353290000000001</v>
      </c>
      <c r="P520" s="79">
        <v>4938.3116900000005</v>
      </c>
      <c r="Q520" s="77"/>
      <c r="R520" s="77"/>
      <c r="S520" s="77"/>
      <c r="T520" s="77"/>
      <c r="U520" s="77"/>
      <c r="V520" s="87"/>
      <c r="W520" s="87"/>
      <c r="X520" s="87"/>
      <c r="Y520" s="77"/>
      <c r="Z520" s="88"/>
      <c r="AA520" s="35"/>
      <c r="AB520" s="35"/>
    </row>
    <row r="521" spans="1:28" x14ac:dyDescent="0.25">
      <c r="A521" s="68" t="str">
        <f t="shared" si="24"/>
        <v>467121</v>
      </c>
      <c r="B521" s="10">
        <f t="shared" si="25"/>
        <v>304.2</v>
      </c>
      <c r="C521" s="77" t="s">
        <v>5176</v>
      </c>
      <c r="D521" s="191" t="str">
        <f t="shared" si="26"/>
        <v>StrongLumio nástěnný ovladač LED - stmívač</v>
      </c>
      <c r="E521" s="77" t="s">
        <v>2355</v>
      </c>
      <c r="F521" s="77" t="s">
        <v>2356</v>
      </c>
      <c r="G521" s="77" t="s">
        <v>2358</v>
      </c>
      <c r="H521" s="77" t="s">
        <v>2357</v>
      </c>
      <c r="I521" s="77" t="s">
        <v>795</v>
      </c>
      <c r="J521" s="90">
        <v>50</v>
      </c>
      <c r="K521" s="91">
        <v>1</v>
      </c>
      <c r="L521" s="77" t="s">
        <v>227</v>
      </c>
      <c r="M521" s="78">
        <v>304.2</v>
      </c>
      <c r="N521" s="79">
        <v>13.655469999999999</v>
      </c>
      <c r="O521" s="79">
        <v>60.136400000000002</v>
      </c>
      <c r="P521" s="79">
        <v>4938.3116900000005</v>
      </c>
      <c r="Q521" s="77"/>
      <c r="R521" s="77"/>
      <c r="S521" s="77"/>
      <c r="T521" s="77"/>
      <c r="U521" s="77"/>
      <c r="V521" s="87"/>
      <c r="W521" s="87"/>
      <c r="X521" s="87"/>
      <c r="Y521" s="77"/>
      <c r="Z521" s="88"/>
      <c r="AA521" s="35"/>
      <c r="AB521" s="35"/>
    </row>
    <row r="522" spans="1:28" x14ac:dyDescent="0.25">
      <c r="A522" s="68" t="str">
        <f t="shared" si="24"/>
        <v>367822</v>
      </c>
      <c r="B522" s="10">
        <f t="shared" si="25"/>
        <v>28.3248</v>
      </c>
      <c r="C522" s="77" t="s">
        <v>5177</v>
      </c>
      <c r="D522" s="191" t="str">
        <f t="shared" si="26"/>
        <v>StrongLumio plochý CCT kabel (trojlinka)</v>
      </c>
      <c r="E522" s="77" t="s">
        <v>2359</v>
      </c>
      <c r="F522" s="77" t="s">
        <v>2360</v>
      </c>
      <c r="G522" s="77" t="s">
        <v>2362</v>
      </c>
      <c r="H522" s="77" t="s">
        <v>2361</v>
      </c>
      <c r="I522" s="77" t="s">
        <v>992</v>
      </c>
      <c r="J522" s="90">
        <v>100</v>
      </c>
      <c r="K522" s="91">
        <v>1</v>
      </c>
      <c r="L522" s="77" t="s">
        <v>227</v>
      </c>
      <c r="M522" s="78">
        <v>28.3248</v>
      </c>
      <c r="N522" s="79">
        <v>1.2126600000000001</v>
      </c>
      <c r="O522" s="79">
        <v>3.9998399999999998</v>
      </c>
      <c r="P522" s="79">
        <v>418.14715000000001</v>
      </c>
      <c r="Q522" s="77"/>
      <c r="R522" s="77"/>
      <c r="S522" s="77"/>
      <c r="T522" s="77"/>
      <c r="U522" s="77"/>
      <c r="V522" s="87"/>
      <c r="W522" s="87"/>
      <c r="X522" s="87"/>
      <c r="Y522" s="77"/>
      <c r="Z522" s="88"/>
      <c r="AA522" s="35"/>
      <c r="AB522" s="35"/>
    </row>
    <row r="523" spans="1:28" x14ac:dyDescent="0.25">
      <c r="A523" s="68" t="str">
        <f t="shared" si="24"/>
        <v>276497</v>
      </c>
      <c r="B523" s="10">
        <f t="shared" si="25"/>
        <v>30.004799999999999</v>
      </c>
      <c r="C523" s="77" t="s">
        <v>5178</v>
      </c>
      <c r="D523" s="191" t="str">
        <f t="shared" si="26"/>
        <v>StrongLumio plochý RGB kabel (čtyřlinka)</v>
      </c>
      <c r="E523" s="77" t="s">
        <v>2363</v>
      </c>
      <c r="F523" s="77" t="s">
        <v>2364</v>
      </c>
      <c r="G523" s="77" t="s">
        <v>2366</v>
      </c>
      <c r="H523" s="77" t="s">
        <v>2365</v>
      </c>
      <c r="I523" s="77" t="s">
        <v>992</v>
      </c>
      <c r="J523" s="90">
        <v>100</v>
      </c>
      <c r="K523" s="91">
        <v>1</v>
      </c>
      <c r="L523" s="77" t="s">
        <v>227</v>
      </c>
      <c r="M523" s="78">
        <v>30.004799999999999</v>
      </c>
      <c r="N523" s="79">
        <v>1.2846</v>
      </c>
      <c r="O523" s="79">
        <v>4.2370599999999996</v>
      </c>
      <c r="P523" s="79">
        <v>442.94830000000002</v>
      </c>
      <c r="Q523" s="77"/>
      <c r="R523" s="77"/>
      <c r="S523" s="77"/>
      <c r="T523" s="77"/>
      <c r="U523" s="77"/>
      <c r="V523" s="87"/>
      <c r="W523" s="87"/>
      <c r="X523" s="87"/>
      <c r="Y523" s="77"/>
      <c r="Z523" s="88"/>
      <c r="AA523" s="35"/>
      <c r="AB523" s="35"/>
    </row>
    <row r="524" spans="1:28" x14ac:dyDescent="0.25">
      <c r="A524" s="68" t="str">
        <f t="shared" si="24"/>
        <v>489472</v>
      </c>
      <c r="B524" s="10">
        <f t="shared" si="25"/>
        <v>43.319139999999997</v>
      </c>
      <c r="C524" s="77" t="s">
        <v>5179</v>
      </c>
      <c r="D524" s="191" t="str">
        <f t="shared" si="26"/>
        <v>StrongLumio plochý RGBCCT kabel (šestilinka)</v>
      </c>
      <c r="E524" s="77" t="s">
        <v>2367</v>
      </c>
      <c r="F524" s="77" t="s">
        <v>2368</v>
      </c>
      <c r="G524" s="77" t="s">
        <v>2370</v>
      </c>
      <c r="H524" s="77" t="s">
        <v>2369</v>
      </c>
      <c r="I524" s="77" t="s">
        <v>992</v>
      </c>
      <c r="J524" s="90">
        <v>100</v>
      </c>
      <c r="K524" s="91">
        <v>1</v>
      </c>
      <c r="L524" s="77" t="s">
        <v>227</v>
      </c>
      <c r="M524" s="78">
        <v>43.319139999999997</v>
      </c>
      <c r="N524" s="79">
        <v>1.85466</v>
      </c>
      <c r="O524" s="79">
        <v>6.1172199999999997</v>
      </c>
      <c r="P524" s="79">
        <v>639.50226999999995</v>
      </c>
      <c r="Q524" s="77"/>
      <c r="R524" s="77"/>
      <c r="S524" s="77"/>
      <c r="T524" s="77"/>
      <c r="U524" s="77"/>
      <c r="V524" s="87"/>
      <c r="W524" s="87"/>
      <c r="X524" s="87"/>
      <c r="Y524" s="77"/>
      <c r="Z524" s="88"/>
      <c r="AA524" s="35"/>
      <c r="AB524" s="35"/>
    </row>
    <row r="525" spans="1:28" x14ac:dyDescent="0.25">
      <c r="A525" s="68" t="str">
        <f t="shared" si="24"/>
        <v>399079</v>
      </c>
      <c r="B525" s="10">
        <f t="shared" si="25"/>
        <v>38.875869999999999</v>
      </c>
      <c r="C525" s="77" t="s">
        <v>5180</v>
      </c>
      <c r="D525" s="191" t="str">
        <f t="shared" si="26"/>
        <v>StrongLumio plochý RGBW kabel (pětilinka)</v>
      </c>
      <c r="E525" s="77" t="s">
        <v>2371</v>
      </c>
      <c r="F525" s="77" t="s">
        <v>2372</v>
      </c>
      <c r="G525" s="77" t="s">
        <v>2374</v>
      </c>
      <c r="H525" s="77" t="s">
        <v>2373</v>
      </c>
      <c r="I525" s="77" t="s">
        <v>992</v>
      </c>
      <c r="J525" s="90">
        <v>100</v>
      </c>
      <c r="K525" s="91">
        <v>1</v>
      </c>
      <c r="L525" s="77" t="s">
        <v>227</v>
      </c>
      <c r="M525" s="78">
        <v>38.875869999999999</v>
      </c>
      <c r="N525" s="79">
        <v>1.6644000000000001</v>
      </c>
      <c r="O525" s="79">
        <v>5.4897799999999997</v>
      </c>
      <c r="P525" s="79">
        <v>573.90822000000003</v>
      </c>
      <c r="Q525" s="77"/>
      <c r="R525" s="77"/>
      <c r="S525" s="77"/>
      <c r="T525" s="77"/>
      <c r="U525" s="77"/>
      <c r="V525" s="87"/>
      <c r="W525" s="87"/>
      <c r="X525" s="87"/>
      <c r="Y525" s="77"/>
      <c r="Z525" s="88"/>
      <c r="AA525" s="35"/>
      <c r="AB525" s="35"/>
    </row>
    <row r="526" spans="1:28" x14ac:dyDescent="0.25">
      <c r="A526" s="68" t="str">
        <f t="shared" si="24"/>
        <v>484233</v>
      </c>
      <c r="B526" s="10">
        <f t="shared" si="25"/>
        <v>341.8023</v>
      </c>
      <c r="C526" s="77" t="s">
        <v>5181</v>
      </c>
      <c r="D526" s="191" t="str">
        <f t="shared" si="26"/>
        <v>StrongLumio podpovrchový vypínač/stmívač 12-24V - 3PIN</v>
      </c>
      <c r="E526" s="77" t="s">
        <v>2375</v>
      </c>
      <c r="F526" s="77" t="s">
        <v>2376</v>
      </c>
      <c r="G526" s="77" t="s">
        <v>2378</v>
      </c>
      <c r="H526" s="77" t="s">
        <v>2377</v>
      </c>
      <c r="I526" s="77" t="s">
        <v>795</v>
      </c>
      <c r="J526" s="90">
        <v>1</v>
      </c>
      <c r="K526" s="91">
        <v>1</v>
      </c>
      <c r="L526" s="77" t="s">
        <v>227</v>
      </c>
      <c r="M526" s="78">
        <v>341.8023</v>
      </c>
      <c r="N526" s="79">
        <v>15.609260000000001</v>
      </c>
      <c r="O526" s="79">
        <v>48.582430000000002</v>
      </c>
      <c r="P526" s="79">
        <v>6124.7505700000002</v>
      </c>
      <c r="Q526" s="77"/>
      <c r="R526" s="77"/>
      <c r="S526" s="77"/>
      <c r="T526" s="77"/>
      <c r="U526" s="77"/>
      <c r="V526" s="87"/>
      <c r="W526" s="87"/>
      <c r="X526" s="87"/>
      <c r="Y526" s="77"/>
      <c r="Z526" s="88"/>
      <c r="AA526" s="35"/>
      <c r="AB526" s="35"/>
    </row>
    <row r="527" spans="1:28" x14ac:dyDescent="0.25">
      <c r="A527" s="68" t="str">
        <f t="shared" si="24"/>
        <v>405198</v>
      </c>
      <c r="B527" s="10">
        <f t="shared" si="25"/>
        <v>341.8023</v>
      </c>
      <c r="C527" s="77" t="s">
        <v>5182</v>
      </c>
      <c r="D527" s="191" t="str">
        <f t="shared" si="26"/>
        <v>StrongLumio podpovrchový vypínač/stmívač 12-24V, 4A konektory Mini, bílá</v>
      </c>
      <c r="E527" s="77" t="s">
        <v>2379</v>
      </c>
      <c r="F527" s="77" t="s">
        <v>2380</v>
      </c>
      <c r="G527" s="77" t="s">
        <v>2382</v>
      </c>
      <c r="H527" s="77" t="s">
        <v>2381</v>
      </c>
      <c r="I527" s="77" t="s">
        <v>795</v>
      </c>
      <c r="J527" s="90">
        <v>1</v>
      </c>
      <c r="K527" s="91">
        <v>1</v>
      </c>
      <c r="L527" s="77" t="s">
        <v>227</v>
      </c>
      <c r="M527" s="78">
        <v>341.8023</v>
      </c>
      <c r="N527" s="79">
        <v>15.609260000000001</v>
      </c>
      <c r="O527" s="79">
        <v>46.789369999999998</v>
      </c>
      <c r="P527" s="79">
        <v>6124.7505700000002</v>
      </c>
      <c r="Q527" s="77"/>
      <c r="R527" s="77"/>
      <c r="S527" s="77"/>
      <c r="T527" s="77"/>
      <c r="U527" s="77"/>
      <c r="V527" s="87"/>
      <c r="W527" s="87"/>
      <c r="X527" s="87"/>
      <c r="Y527" s="77"/>
      <c r="Z527" s="88"/>
      <c r="AA527" s="35"/>
      <c r="AB527" s="35"/>
    </row>
    <row r="528" spans="1:28" x14ac:dyDescent="0.25">
      <c r="A528" s="68" t="str">
        <f t="shared" si="24"/>
        <v>405196</v>
      </c>
      <c r="B528" s="10">
        <f t="shared" si="25"/>
        <v>346.36329000000001</v>
      </c>
      <c r="C528" s="77" t="s">
        <v>5183</v>
      </c>
      <c r="D528" s="191" t="str">
        <f t="shared" si="26"/>
        <v>StrongLumio pohybový senzor do profilu, 12-24V, 8A</v>
      </c>
      <c r="E528" s="77" t="s">
        <v>2383</v>
      </c>
      <c r="F528" s="77" t="s">
        <v>2383</v>
      </c>
      <c r="G528" s="77" t="s">
        <v>2385</v>
      </c>
      <c r="H528" s="77" t="s">
        <v>2384</v>
      </c>
      <c r="I528" s="77" t="s">
        <v>795</v>
      </c>
      <c r="J528" s="90">
        <v>1</v>
      </c>
      <c r="K528" s="91">
        <v>1</v>
      </c>
      <c r="L528" s="77" t="s">
        <v>227</v>
      </c>
      <c r="M528" s="78">
        <v>346.36329000000001</v>
      </c>
      <c r="N528" s="79">
        <v>15.46885</v>
      </c>
      <c r="O528" s="79">
        <v>42.956029999999998</v>
      </c>
      <c r="P528" s="79">
        <v>5364.4367199999997</v>
      </c>
      <c r="Q528" s="77"/>
      <c r="R528" s="77"/>
      <c r="S528" s="77"/>
      <c r="T528" s="77"/>
      <c r="U528" s="77"/>
      <c r="V528" s="87"/>
      <c r="W528" s="87"/>
      <c r="X528" s="87"/>
      <c r="Y528" s="77"/>
      <c r="Z528" s="88"/>
      <c r="AA528" s="35"/>
      <c r="AB528" s="35"/>
    </row>
    <row r="529" spans="1:28" x14ac:dyDescent="0.25">
      <c r="A529" s="68" t="str">
        <f t="shared" si="24"/>
        <v>405209</v>
      </c>
      <c r="B529" s="10">
        <f t="shared" si="25"/>
        <v>395.45415000000003</v>
      </c>
      <c r="C529" s="77" t="s">
        <v>5184</v>
      </c>
      <c r="D529" s="191" t="str">
        <f t="shared" si="26"/>
        <v>StrongLumio pohybový vypínač PIR k zafrézování, 12-24V 4A Mini</v>
      </c>
      <c r="E529" s="77" t="s">
        <v>2386</v>
      </c>
      <c r="F529" s="77" t="s">
        <v>2387</v>
      </c>
      <c r="G529" s="77" t="s">
        <v>2389</v>
      </c>
      <c r="H529" s="77" t="s">
        <v>2388</v>
      </c>
      <c r="I529" s="77" t="s">
        <v>795</v>
      </c>
      <c r="J529" s="90">
        <v>10</v>
      </c>
      <c r="K529" s="91">
        <v>1</v>
      </c>
      <c r="L529" s="77" t="s">
        <v>227</v>
      </c>
      <c r="M529" s="78">
        <v>395.45415000000003</v>
      </c>
      <c r="N529" s="79">
        <v>17.90363</v>
      </c>
      <c r="O529" s="79">
        <v>55.035139999999998</v>
      </c>
      <c r="P529" s="79">
        <v>6124.7505700000002</v>
      </c>
      <c r="Q529" s="77"/>
      <c r="R529" s="77"/>
      <c r="S529" s="77"/>
      <c r="T529" s="77"/>
      <c r="U529" s="77"/>
      <c r="V529" s="87"/>
      <c r="W529" s="87"/>
      <c r="X529" s="87"/>
      <c r="Y529" s="77"/>
      <c r="Z529" s="88"/>
      <c r="AA529" s="35"/>
      <c r="AB529" s="35"/>
    </row>
    <row r="530" spans="1:28" x14ac:dyDescent="0.25">
      <c r="A530" s="68" t="str">
        <f t="shared" si="24"/>
        <v>343040</v>
      </c>
      <c r="B530" s="10">
        <f t="shared" si="25"/>
        <v>340.90875</v>
      </c>
      <c r="C530" s="77" t="s">
        <v>5185</v>
      </c>
      <c r="D530" s="191" t="str">
        <f t="shared" si="26"/>
        <v>StrongLumio pohybový vypínač PIR, 12-24V 4A Mini</v>
      </c>
      <c r="E530" s="77" t="s">
        <v>2390</v>
      </c>
      <c r="F530" s="77" t="s">
        <v>2390</v>
      </c>
      <c r="G530" s="77" t="s">
        <v>2392</v>
      </c>
      <c r="H530" s="77" t="s">
        <v>2391</v>
      </c>
      <c r="I530" s="77" t="s">
        <v>795</v>
      </c>
      <c r="J530" s="90">
        <v>10</v>
      </c>
      <c r="K530" s="91">
        <v>1</v>
      </c>
      <c r="L530" s="77" t="s">
        <v>227</v>
      </c>
      <c r="M530" s="78">
        <v>340.90875</v>
      </c>
      <c r="N530" s="79">
        <v>15.225239999999999</v>
      </c>
      <c r="O530" s="79">
        <v>43.593600000000002</v>
      </c>
      <c r="P530" s="79">
        <v>5279.9574000000002</v>
      </c>
      <c r="Q530" s="77"/>
      <c r="R530" s="77"/>
      <c r="S530" s="77"/>
      <c r="T530" s="77"/>
      <c r="U530" s="77"/>
      <c r="V530" s="87"/>
      <c r="W530" s="87"/>
      <c r="X530" s="87"/>
      <c r="Y530" s="77"/>
      <c r="Z530" s="88"/>
      <c r="AA530" s="35"/>
      <c r="AB530" s="35"/>
    </row>
    <row r="531" spans="1:28" x14ac:dyDescent="0.25">
      <c r="A531" s="68" t="str">
        <f t="shared" si="24"/>
        <v>405200</v>
      </c>
      <c r="B531" s="10">
        <f t="shared" si="25"/>
        <v>359.09055000000001</v>
      </c>
      <c r="C531" s="77" t="s">
        <v>5186</v>
      </c>
      <c r="D531" s="191" t="str">
        <f t="shared" si="26"/>
        <v>StrongLumio povrchový vypínač/stmívač 12-24V, 4A konektory Mini, bílá</v>
      </c>
      <c r="E531" s="77" t="s">
        <v>2393</v>
      </c>
      <c r="F531" s="77" t="s">
        <v>2394</v>
      </c>
      <c r="G531" s="77" t="s">
        <v>2396</v>
      </c>
      <c r="H531" s="77" t="s">
        <v>2395</v>
      </c>
      <c r="I531" s="77" t="s">
        <v>795</v>
      </c>
      <c r="J531" s="90">
        <v>1</v>
      </c>
      <c r="K531" s="91">
        <v>1</v>
      </c>
      <c r="L531" s="77" t="s">
        <v>227</v>
      </c>
      <c r="M531" s="78">
        <v>359.09055000000001</v>
      </c>
      <c r="N531" s="79">
        <v>16.037240000000001</v>
      </c>
      <c r="O531" s="79">
        <v>52.146850000000001</v>
      </c>
      <c r="P531" s="79">
        <v>5561.5550999999996</v>
      </c>
      <c r="Q531" s="77"/>
      <c r="R531" s="77"/>
      <c r="S531" s="77"/>
      <c r="T531" s="77"/>
      <c r="U531" s="77"/>
      <c r="V531" s="87"/>
      <c r="W531" s="87"/>
      <c r="X531" s="87"/>
      <c r="Y531" s="77"/>
      <c r="Z531" s="88"/>
      <c r="AA531" s="35"/>
      <c r="AB531" s="35"/>
    </row>
    <row r="532" spans="1:28" x14ac:dyDescent="0.25">
      <c r="A532" s="68" t="str">
        <f t="shared" si="24"/>
        <v>405199</v>
      </c>
      <c r="B532" s="10">
        <f t="shared" si="25"/>
        <v>300.62130000000002</v>
      </c>
      <c r="C532" s="77" t="s">
        <v>5187</v>
      </c>
      <c r="D532" s="191" t="str">
        <f t="shared" si="26"/>
        <v>StrongLumio povrchový vypínač/stmívač 12-24V, 4A konektory Mini, černá</v>
      </c>
      <c r="E532" s="77" t="s">
        <v>2397</v>
      </c>
      <c r="F532" s="77" t="s">
        <v>2398</v>
      </c>
      <c r="G532" s="77" t="s">
        <v>2400</v>
      </c>
      <c r="H532" s="77" t="s">
        <v>2399</v>
      </c>
      <c r="I532" s="77" t="s">
        <v>795</v>
      </c>
      <c r="J532" s="90">
        <v>1</v>
      </c>
      <c r="K532" s="91">
        <v>1</v>
      </c>
      <c r="L532" s="77" t="s">
        <v>227</v>
      </c>
      <c r="M532" s="78">
        <v>300.62130000000002</v>
      </c>
      <c r="N532" s="79">
        <v>13.728590000000001</v>
      </c>
      <c r="O532" s="79">
        <v>42.200830000000003</v>
      </c>
      <c r="P532" s="79">
        <v>5561.5550999999996</v>
      </c>
      <c r="Q532" s="77"/>
      <c r="R532" s="77"/>
      <c r="S532" s="77"/>
      <c r="T532" s="77"/>
      <c r="U532" s="77"/>
      <c r="V532" s="87"/>
      <c r="W532" s="87"/>
      <c r="X532" s="87"/>
      <c r="Y532" s="77"/>
      <c r="Z532" s="88"/>
      <c r="AA532" s="35"/>
      <c r="AB532" s="35"/>
    </row>
    <row r="533" spans="1:28" x14ac:dyDescent="0.25">
      <c r="A533" s="68" t="str">
        <f t="shared" si="24"/>
        <v>405201</v>
      </c>
      <c r="B533" s="10">
        <f t="shared" si="25"/>
        <v>345.45420000000001</v>
      </c>
      <c r="C533" s="77" t="s">
        <v>5188</v>
      </c>
      <c r="D533" s="191" t="str">
        <f t="shared" si="26"/>
        <v>StrongLumio povrchový vypínač/stmívač 12-24V, 4A konektory Mini, stříbrná</v>
      </c>
      <c r="E533" s="77" t="s">
        <v>2401</v>
      </c>
      <c r="F533" s="77" t="s">
        <v>2402</v>
      </c>
      <c r="G533" s="77" t="s">
        <v>2404</v>
      </c>
      <c r="H533" s="77" t="s">
        <v>2403</v>
      </c>
      <c r="I533" s="77" t="s">
        <v>795</v>
      </c>
      <c r="J533" s="90">
        <v>1</v>
      </c>
      <c r="K533" s="91">
        <v>1</v>
      </c>
      <c r="L533" s="77" t="s">
        <v>227</v>
      </c>
      <c r="M533" s="78">
        <v>345.45420000000001</v>
      </c>
      <c r="N533" s="79">
        <v>15.42826</v>
      </c>
      <c r="O533" s="79">
        <v>50.013309999999997</v>
      </c>
      <c r="P533" s="79">
        <v>5350.35682</v>
      </c>
      <c r="Q533" s="77"/>
      <c r="R533" s="77"/>
      <c r="S533" s="77"/>
      <c r="T533" s="77"/>
      <c r="U533" s="77"/>
      <c r="V533" s="87"/>
      <c r="W533" s="87"/>
      <c r="X533" s="87"/>
      <c r="Y533" s="77"/>
      <c r="Z533" s="88"/>
      <c r="AA533" s="35"/>
      <c r="AB533" s="35"/>
    </row>
    <row r="534" spans="1:28" x14ac:dyDescent="0.25">
      <c r="A534" s="68" t="str">
        <f t="shared" si="24"/>
        <v>284572</v>
      </c>
      <c r="B534" s="10">
        <f t="shared" si="25"/>
        <v>1065.636</v>
      </c>
      <c r="C534" s="77" t="s">
        <v>5189</v>
      </c>
      <c r="D534" s="191" t="str">
        <f t="shared" si="26"/>
        <v>StrongLumio Power dálkový ovladač/stmívač 1x25A</v>
      </c>
      <c r="E534" s="77" t="s">
        <v>2405</v>
      </c>
      <c r="F534" s="77" t="s">
        <v>2406</v>
      </c>
      <c r="G534" s="77" t="s">
        <v>2408</v>
      </c>
      <c r="H534" s="77" t="s">
        <v>2407</v>
      </c>
      <c r="I534" s="77" t="s">
        <v>795</v>
      </c>
      <c r="J534" s="90">
        <v>1</v>
      </c>
      <c r="K534" s="91">
        <v>1</v>
      </c>
      <c r="L534" s="77" t="s">
        <v>227</v>
      </c>
      <c r="M534" s="78">
        <v>1065.636</v>
      </c>
      <c r="N534" s="79">
        <v>36.843519999999998</v>
      </c>
      <c r="O534" s="79">
        <v>92.424819999999997</v>
      </c>
      <c r="P534" s="79">
        <v>12109.49999</v>
      </c>
      <c r="Q534" s="77"/>
      <c r="R534" s="77"/>
      <c r="S534" s="77"/>
      <c r="T534" s="77"/>
      <c r="U534" s="77"/>
      <c r="V534" s="87"/>
      <c r="W534" s="87"/>
      <c r="X534" s="87"/>
      <c r="Y534" s="77"/>
      <c r="Z534" s="88"/>
      <c r="AA534" s="35"/>
      <c r="AB534" s="35"/>
    </row>
    <row r="535" spans="1:28" x14ac:dyDescent="0.25">
      <c r="A535" s="68" t="str">
        <f t="shared" si="24"/>
        <v>362939</v>
      </c>
      <c r="B535" s="10">
        <f t="shared" si="25"/>
        <v>53.636310000000002</v>
      </c>
      <c r="C535" s="77" t="s">
        <v>5190</v>
      </c>
      <c r="D535" s="191" t="str">
        <f t="shared" si="26"/>
        <v>StrongLumio prodlužovací kabel 2m, pro dveřní senzor 342519 a 342520</v>
      </c>
      <c r="E535" s="77" t="s">
        <v>2409</v>
      </c>
      <c r="F535" s="77" t="s">
        <v>2410</v>
      </c>
      <c r="G535" s="77" t="s">
        <v>2412</v>
      </c>
      <c r="H535" s="77" t="s">
        <v>2411</v>
      </c>
      <c r="I535" s="77" t="s">
        <v>795</v>
      </c>
      <c r="J535" s="90">
        <v>1</v>
      </c>
      <c r="K535" s="91">
        <v>1</v>
      </c>
      <c r="L535" s="77" t="s">
        <v>227</v>
      </c>
      <c r="M535" s="78">
        <v>53.636310000000002</v>
      </c>
      <c r="N535" s="79">
        <v>2.3954499999999999</v>
      </c>
      <c r="O535" s="79">
        <v>6.8536000000000001</v>
      </c>
      <c r="P535" s="79">
        <v>830.71330999999998</v>
      </c>
      <c r="Q535" s="77"/>
      <c r="R535" s="77"/>
      <c r="S535" s="77"/>
      <c r="T535" s="77"/>
      <c r="U535" s="77"/>
      <c r="V535" s="87"/>
      <c r="W535" s="87"/>
      <c r="X535" s="87"/>
      <c r="Y535" s="77"/>
      <c r="Z535" s="88"/>
      <c r="AA535" s="35"/>
      <c r="AB535" s="35"/>
    </row>
    <row r="536" spans="1:28" x14ac:dyDescent="0.25">
      <c r="A536" s="68" t="str">
        <f t="shared" si="24"/>
        <v>205239</v>
      </c>
      <c r="B536" s="10">
        <f t="shared" si="25"/>
        <v>82.002390000000005</v>
      </c>
      <c r="C536" s="77" t="s">
        <v>5191</v>
      </c>
      <c r="D536" s="191" t="str">
        <f t="shared" si="26"/>
        <v>StrongLumio prodlužovací kabel MINI-MINI 3m (Tech)</v>
      </c>
      <c r="E536" s="77" t="s">
        <v>2413</v>
      </c>
      <c r="F536" s="77" t="s">
        <v>2414</v>
      </c>
      <c r="G536" s="77" t="s">
        <v>2416</v>
      </c>
      <c r="H536" s="77" t="s">
        <v>2415</v>
      </c>
      <c r="I536" s="77" t="s">
        <v>795</v>
      </c>
      <c r="J536" s="90">
        <v>100</v>
      </c>
      <c r="K536" s="91">
        <v>1</v>
      </c>
      <c r="L536" s="77" t="s">
        <v>6568</v>
      </c>
      <c r="M536" s="78">
        <v>82.002390000000005</v>
      </c>
      <c r="N536" s="79">
        <v>3.5864600000000002</v>
      </c>
      <c r="O536" s="79">
        <v>10.473520000000001</v>
      </c>
      <c r="P536" s="79">
        <v>1242.46046</v>
      </c>
      <c r="Q536" s="77"/>
      <c r="R536" s="77"/>
      <c r="S536" s="77"/>
      <c r="T536" s="77"/>
      <c r="U536" s="77"/>
      <c r="V536" s="87"/>
      <c r="W536" s="87"/>
      <c r="X536" s="87"/>
      <c r="Y536" s="77"/>
      <c r="Z536" s="88"/>
      <c r="AA536" s="35"/>
      <c r="AB536" s="35"/>
    </row>
    <row r="537" spans="1:28" x14ac:dyDescent="0.25">
      <c r="A537" s="68" t="str">
        <f t="shared" si="24"/>
        <v>507817</v>
      </c>
      <c r="B537" s="10">
        <f t="shared" si="25"/>
        <v>53.636310000000002</v>
      </c>
      <c r="C537" s="77" t="s">
        <v>5192</v>
      </c>
      <c r="D537" s="191" t="str">
        <f t="shared" si="26"/>
        <v>StrongLumio prodlužovací kabel pro 3PIN vypínače 2m</v>
      </c>
      <c r="E537" s="77" t="s">
        <v>2417</v>
      </c>
      <c r="F537" s="77" t="s">
        <v>2418</v>
      </c>
      <c r="G537" s="77" t="s">
        <v>2420</v>
      </c>
      <c r="H537" s="77" t="s">
        <v>2419</v>
      </c>
      <c r="I537" s="77" t="s">
        <v>795</v>
      </c>
      <c r="J537" s="90">
        <v>100</v>
      </c>
      <c r="K537" s="91">
        <v>1</v>
      </c>
      <c r="L537" s="77" t="s">
        <v>227</v>
      </c>
      <c r="M537" s="78">
        <v>53.636310000000002</v>
      </c>
      <c r="N537" s="79">
        <v>2.3954499999999999</v>
      </c>
      <c r="O537" s="79">
        <v>7.3799700000000001</v>
      </c>
      <c r="P537" s="79">
        <v>830.71330999999998</v>
      </c>
      <c r="Q537" s="77"/>
      <c r="R537" s="77"/>
      <c r="S537" s="77"/>
      <c r="T537" s="77"/>
      <c r="U537" s="77"/>
      <c r="V537" s="87"/>
      <c r="W537" s="87"/>
      <c r="X537" s="87"/>
      <c r="Y537" s="77"/>
      <c r="Z537" s="88"/>
      <c r="AA537" s="35"/>
      <c r="AB537" s="35"/>
    </row>
    <row r="538" spans="1:28" x14ac:dyDescent="0.25">
      <c r="A538" s="68" t="str">
        <f t="shared" si="24"/>
        <v>285110</v>
      </c>
      <c r="B538" s="10">
        <f t="shared" si="25"/>
        <v>42.754339999999999</v>
      </c>
      <c r="C538" s="77" t="s">
        <v>5193</v>
      </c>
      <c r="D538" s="191" t="str">
        <f t="shared" si="26"/>
        <v>StrongLumio prodlužovací kabel, 1,8m Mini konektor</v>
      </c>
      <c r="E538" s="77" t="s">
        <v>2421</v>
      </c>
      <c r="F538" s="77" t="s">
        <v>2422</v>
      </c>
      <c r="G538" s="77" t="s">
        <v>2424</v>
      </c>
      <c r="H538" s="77" t="s">
        <v>2423</v>
      </c>
      <c r="I538" s="77" t="s">
        <v>795</v>
      </c>
      <c r="J538" s="90">
        <v>100</v>
      </c>
      <c r="K538" s="91">
        <v>1</v>
      </c>
      <c r="L538" s="77" t="s">
        <v>227</v>
      </c>
      <c r="M538" s="78">
        <v>42.754339999999999</v>
      </c>
      <c r="N538" s="79">
        <v>1.7901</v>
      </c>
      <c r="O538" s="79">
        <v>5.8953100000000003</v>
      </c>
      <c r="P538" s="79">
        <v>631.16435999999999</v>
      </c>
      <c r="Q538" s="77"/>
      <c r="R538" s="77"/>
      <c r="S538" s="77"/>
      <c r="T538" s="77"/>
      <c r="U538" s="77"/>
      <c r="V538" s="87"/>
      <c r="W538" s="87"/>
      <c r="X538" s="87"/>
      <c r="Y538" s="77"/>
      <c r="Z538" s="88"/>
      <c r="AA538" s="35"/>
      <c r="AB538" s="35"/>
    </row>
    <row r="539" spans="1:28" x14ac:dyDescent="0.25">
      <c r="A539" s="68" t="str">
        <f t="shared" si="24"/>
        <v>343063</v>
      </c>
      <c r="B539" s="10">
        <f t="shared" si="25"/>
        <v>130.47900000000001</v>
      </c>
      <c r="C539" s="77" t="s">
        <v>5194</v>
      </c>
      <c r="D539" s="191" t="str">
        <f t="shared" si="26"/>
        <v>StrongLumio profil Arc 12, 2000mm stříbrná surová</v>
      </c>
      <c r="E539" s="77" t="s">
        <v>2425</v>
      </c>
      <c r="F539" s="77" t="s">
        <v>2426</v>
      </c>
      <c r="G539" s="77" t="s">
        <v>2428</v>
      </c>
      <c r="H539" s="77" t="s">
        <v>2427</v>
      </c>
      <c r="I539" s="77" t="s">
        <v>795</v>
      </c>
      <c r="J539" s="90">
        <v>40</v>
      </c>
      <c r="K539" s="91">
        <v>1</v>
      </c>
      <c r="L539" s="77" t="s">
        <v>227</v>
      </c>
      <c r="M539" s="78">
        <v>130.47900000000001</v>
      </c>
      <c r="N539" s="79">
        <v>5.0343999999999998</v>
      </c>
      <c r="O539" s="79">
        <v>15.551170000000001</v>
      </c>
      <c r="P539" s="79">
        <v>1743.17001</v>
      </c>
      <c r="Q539" s="77"/>
      <c r="R539" s="77"/>
      <c r="S539" s="77"/>
      <c r="T539" s="77"/>
      <c r="U539" s="77"/>
      <c r="V539" s="87"/>
      <c r="W539" s="87"/>
      <c r="X539" s="87"/>
      <c r="Y539" s="77"/>
      <c r="Z539" s="88"/>
      <c r="AA539" s="35"/>
      <c r="AB539" s="35"/>
    </row>
    <row r="540" spans="1:28" x14ac:dyDescent="0.25">
      <c r="A540" s="68" t="str">
        <f t="shared" si="24"/>
        <v>405210</v>
      </c>
      <c r="B540" s="10">
        <f t="shared" si="25"/>
        <v>122.4936</v>
      </c>
      <c r="C540" s="77" t="s">
        <v>5195</v>
      </c>
      <c r="D540" s="191" t="str">
        <f t="shared" si="26"/>
        <v>StrongLumio profil led Arbona, 2000mm stříbrná elox</v>
      </c>
      <c r="E540" s="77" t="s">
        <v>2429</v>
      </c>
      <c r="F540" s="77" t="s">
        <v>2430</v>
      </c>
      <c r="G540" s="77" t="s">
        <v>2432</v>
      </c>
      <c r="H540" s="77" t="s">
        <v>2431</v>
      </c>
      <c r="I540" s="77" t="s">
        <v>795</v>
      </c>
      <c r="J540" s="90">
        <v>1</v>
      </c>
      <c r="K540" s="91">
        <v>1</v>
      </c>
      <c r="L540" s="77" t="s">
        <v>227</v>
      </c>
      <c r="M540" s="78">
        <v>122.4936</v>
      </c>
      <c r="N540" s="79">
        <v>4.8853400000000002</v>
      </c>
      <c r="O540" s="79">
        <v>13.09915</v>
      </c>
      <c r="P540" s="79">
        <v>1593.32726</v>
      </c>
      <c r="Q540" s="77"/>
      <c r="R540" s="77"/>
      <c r="S540" s="77"/>
      <c r="T540" s="77"/>
      <c r="U540" s="77"/>
      <c r="V540" s="87"/>
      <c r="W540" s="87"/>
      <c r="X540" s="87"/>
      <c r="Y540" s="77"/>
      <c r="Z540" s="88"/>
      <c r="AA540" s="35"/>
      <c r="AB540" s="35"/>
    </row>
    <row r="541" spans="1:28" x14ac:dyDescent="0.25">
      <c r="A541" s="68" t="str">
        <f t="shared" si="24"/>
        <v>230930</v>
      </c>
      <c r="B541" s="10">
        <f t="shared" si="25"/>
        <v>397.32960000000003</v>
      </c>
      <c r="C541" s="77" t="s">
        <v>5196</v>
      </c>
      <c r="D541" s="191" t="str">
        <f t="shared" si="26"/>
        <v>StrongLumio profil LED Back 10 alu surový 2000mm</v>
      </c>
      <c r="E541" s="77" t="s">
        <v>2433</v>
      </c>
      <c r="F541" s="77" t="s">
        <v>2433</v>
      </c>
      <c r="G541" s="77" t="s">
        <v>2435</v>
      </c>
      <c r="H541" s="77" t="s">
        <v>2434</v>
      </c>
      <c r="I541" s="77" t="s">
        <v>795</v>
      </c>
      <c r="J541" s="90">
        <v>20</v>
      </c>
      <c r="K541" s="91">
        <v>1</v>
      </c>
      <c r="L541" s="77" t="s">
        <v>6565</v>
      </c>
      <c r="M541" s="78">
        <v>397.32960000000003</v>
      </c>
      <c r="N541" s="79">
        <v>15.33056</v>
      </c>
      <c r="O541" s="79">
        <v>47.355800000000002</v>
      </c>
      <c r="P541" s="79">
        <v>5534.2599899999996</v>
      </c>
      <c r="Q541" s="77"/>
      <c r="R541" s="77"/>
      <c r="S541" s="77"/>
      <c r="T541" s="77"/>
      <c r="U541" s="77"/>
      <c r="V541" s="87"/>
      <c r="W541" s="87"/>
      <c r="X541" s="87"/>
      <c r="Y541" s="77"/>
      <c r="Z541" s="88"/>
      <c r="AA541" s="35"/>
      <c r="AB541" s="35"/>
    </row>
    <row r="542" spans="1:28" x14ac:dyDescent="0.25">
      <c r="A542" s="68" t="str">
        <f t="shared" ref="A542:A605" si="27">C542</f>
        <v>537692</v>
      </c>
      <c r="B542" s="10">
        <f t="shared" si="25"/>
        <v>497.50380000000001</v>
      </c>
      <c r="C542" s="77" t="s">
        <v>305</v>
      </c>
      <c r="D542" s="191" t="str">
        <f t="shared" si="26"/>
        <v>StrongLumio profil LED Begtin 12 alu černá 3000mm</v>
      </c>
      <c r="E542" s="77" t="s">
        <v>2436</v>
      </c>
      <c r="F542" s="77" t="s">
        <v>2437</v>
      </c>
      <c r="G542" s="77" t="s">
        <v>2439</v>
      </c>
      <c r="H542" s="77" t="s">
        <v>2438</v>
      </c>
      <c r="I542" s="77" t="s">
        <v>795</v>
      </c>
      <c r="J542" s="90">
        <v>50</v>
      </c>
      <c r="K542" s="91">
        <v>1</v>
      </c>
      <c r="L542" s="77" t="s">
        <v>227</v>
      </c>
      <c r="M542" s="78">
        <v>497.50380000000001</v>
      </c>
      <c r="N542" s="79">
        <v>19.195679999999999</v>
      </c>
      <c r="O542" s="79">
        <v>74.811179999999993</v>
      </c>
      <c r="P542" s="79">
        <v>6936.1100100000003</v>
      </c>
      <c r="Q542" s="77"/>
      <c r="R542" s="77"/>
      <c r="S542" s="77"/>
      <c r="T542" s="77"/>
      <c r="U542" s="77"/>
      <c r="V542" s="87"/>
      <c r="W542" s="87"/>
      <c r="X542" s="87"/>
      <c r="Y542" s="77"/>
      <c r="Z542" s="88"/>
      <c r="AA542" s="35"/>
      <c r="AB542" s="35"/>
    </row>
    <row r="543" spans="1:28" x14ac:dyDescent="0.25">
      <c r="A543" s="68" t="str">
        <f t="shared" si="27"/>
        <v>537693</v>
      </c>
      <c r="B543" s="10">
        <f t="shared" si="25"/>
        <v>666.7056</v>
      </c>
      <c r="C543" s="77" t="s">
        <v>5197</v>
      </c>
      <c r="D543" s="191" t="str">
        <f t="shared" si="26"/>
        <v>StrongLumio profil LED Begtin 12 alu černá 4050mm</v>
      </c>
      <c r="E543" s="77" t="s">
        <v>2440</v>
      </c>
      <c r="F543" s="77" t="s">
        <v>2441</v>
      </c>
      <c r="G543" s="77" t="s">
        <v>2443</v>
      </c>
      <c r="H543" s="77" t="s">
        <v>2442</v>
      </c>
      <c r="I543" s="77" t="s">
        <v>795</v>
      </c>
      <c r="J543" s="90">
        <v>50</v>
      </c>
      <c r="K543" s="91">
        <v>1</v>
      </c>
      <c r="L543" s="77" t="s">
        <v>6565</v>
      </c>
      <c r="M543" s="78">
        <v>666.7056</v>
      </c>
      <c r="N543" s="79">
        <v>25.724160000000001</v>
      </c>
      <c r="O543" s="79">
        <v>79.461420000000004</v>
      </c>
      <c r="P543" s="79">
        <v>9288.7800000000007</v>
      </c>
      <c r="Q543" s="77"/>
      <c r="R543" s="77"/>
      <c r="S543" s="77"/>
      <c r="T543" s="77"/>
      <c r="U543" s="77"/>
      <c r="V543" s="87"/>
      <c r="W543" s="87"/>
      <c r="X543" s="87"/>
      <c r="Y543" s="77"/>
      <c r="Z543" s="88"/>
      <c r="AA543" s="35"/>
      <c r="AB543" s="35"/>
    </row>
    <row r="544" spans="1:28" x14ac:dyDescent="0.25">
      <c r="A544" s="68" t="str">
        <f t="shared" si="27"/>
        <v>285035</v>
      </c>
      <c r="B544" s="10">
        <f t="shared" ref="B544:B607" si="28">IF($B$1=1,M544,IF($B$1=2,N544,IF($B$1=3,O544,IF($B$1=4,P544))))</f>
        <v>333.3528</v>
      </c>
      <c r="C544" s="77" t="s">
        <v>279</v>
      </c>
      <c r="D544" s="191" t="str">
        <f t="shared" si="26"/>
        <v>StrongLumio profil LED Begtin 12, 2000mm bílá lak</v>
      </c>
      <c r="E544" s="77" t="s">
        <v>2444</v>
      </c>
      <c r="F544" s="77" t="s">
        <v>2445</v>
      </c>
      <c r="G544" s="77" t="s">
        <v>2447</v>
      </c>
      <c r="H544" s="77" t="s">
        <v>2446</v>
      </c>
      <c r="I544" s="77" t="s">
        <v>795</v>
      </c>
      <c r="J544" s="90">
        <v>50</v>
      </c>
      <c r="K544" s="91">
        <v>1</v>
      </c>
      <c r="L544" s="77" t="s">
        <v>227</v>
      </c>
      <c r="M544" s="78">
        <v>333.3528</v>
      </c>
      <c r="N544" s="79">
        <v>12.862080000000001</v>
      </c>
      <c r="O544" s="79">
        <v>39.730719999999998</v>
      </c>
      <c r="P544" s="79">
        <v>4473.7299899999998</v>
      </c>
      <c r="Q544" s="77"/>
      <c r="R544" s="77"/>
      <c r="S544" s="77"/>
      <c r="T544" s="77"/>
      <c r="U544" s="77"/>
      <c r="V544" s="87"/>
      <c r="W544" s="87"/>
      <c r="X544" s="87"/>
      <c r="Y544" s="77"/>
      <c r="Z544" s="88"/>
      <c r="AA544" s="35"/>
      <c r="AB544" s="35"/>
    </row>
    <row r="545" spans="1:28" x14ac:dyDescent="0.25">
      <c r="A545" s="68" t="str">
        <f t="shared" si="27"/>
        <v>285036</v>
      </c>
      <c r="B545" s="10">
        <f t="shared" si="28"/>
        <v>311.46600000000001</v>
      </c>
      <c r="C545" s="77" t="s">
        <v>298</v>
      </c>
      <c r="D545" s="191" t="str">
        <f t="shared" si="26"/>
        <v>StrongLumio profil LED Begtin 12, 2000mm černá elox</v>
      </c>
      <c r="E545" s="77" t="s">
        <v>2448</v>
      </c>
      <c r="F545" s="77" t="s">
        <v>2449</v>
      </c>
      <c r="G545" s="77" t="s">
        <v>2451</v>
      </c>
      <c r="H545" s="77" t="s">
        <v>2450</v>
      </c>
      <c r="I545" s="77" t="s">
        <v>795</v>
      </c>
      <c r="J545" s="90">
        <v>50</v>
      </c>
      <c r="K545" s="91">
        <v>1</v>
      </c>
      <c r="L545" s="77" t="s">
        <v>227</v>
      </c>
      <c r="M545" s="78">
        <v>311.46600000000001</v>
      </c>
      <c r="N545" s="79">
        <v>12.0176</v>
      </c>
      <c r="O545" s="79">
        <v>37.122120000000002</v>
      </c>
      <c r="P545" s="79">
        <v>4181.1699900000003</v>
      </c>
      <c r="Q545" s="77"/>
      <c r="R545" s="77"/>
      <c r="S545" s="77"/>
      <c r="T545" s="77"/>
      <c r="U545" s="77"/>
      <c r="V545" s="87"/>
      <c r="W545" s="87"/>
      <c r="X545" s="87"/>
      <c r="Y545" s="77"/>
      <c r="Z545" s="88"/>
      <c r="AA545" s="35"/>
      <c r="AB545" s="35"/>
    </row>
    <row r="546" spans="1:28" x14ac:dyDescent="0.25">
      <c r="A546" s="68" t="str">
        <f t="shared" si="27"/>
        <v>285034</v>
      </c>
      <c r="B546" s="10">
        <f t="shared" si="28"/>
        <v>196.13939999999999</v>
      </c>
      <c r="C546" s="77" t="s">
        <v>318</v>
      </c>
      <c r="D546" s="191" t="str">
        <f t="shared" si="26"/>
        <v>StrongLumio profil LED Begtin 12, 2000mm stříbrná elox</v>
      </c>
      <c r="E546" s="77" t="s">
        <v>2452</v>
      </c>
      <c r="F546" s="77" t="s">
        <v>2453</v>
      </c>
      <c r="G546" s="77" t="s">
        <v>2455</v>
      </c>
      <c r="H546" s="77" t="s">
        <v>2454</v>
      </c>
      <c r="I546" s="77" t="s">
        <v>795</v>
      </c>
      <c r="J546" s="90">
        <v>40</v>
      </c>
      <c r="K546" s="91">
        <v>1</v>
      </c>
      <c r="L546" s="77" t="s">
        <v>227</v>
      </c>
      <c r="M546" s="78">
        <v>196.13939999999999</v>
      </c>
      <c r="N546" s="79">
        <v>7.5678400000000003</v>
      </c>
      <c r="O546" s="79">
        <v>23.376909999999999</v>
      </c>
      <c r="P546" s="79">
        <v>2633.04</v>
      </c>
      <c r="Q546" s="77"/>
      <c r="R546" s="77"/>
      <c r="S546" s="77"/>
      <c r="T546" s="77"/>
      <c r="U546" s="77"/>
      <c r="V546" s="87"/>
      <c r="W546" s="87"/>
      <c r="X546" s="87"/>
      <c r="Y546" s="77"/>
      <c r="Z546" s="88"/>
      <c r="AA546" s="35"/>
      <c r="AB546" s="35"/>
    </row>
    <row r="547" spans="1:28" x14ac:dyDescent="0.25">
      <c r="A547" s="68" t="str">
        <f t="shared" si="27"/>
        <v>285037</v>
      </c>
      <c r="B547" s="10">
        <f t="shared" si="28"/>
        <v>313.9914</v>
      </c>
      <c r="C547" s="77" t="s">
        <v>325</v>
      </c>
      <c r="D547" s="191" t="str">
        <f t="shared" si="26"/>
        <v>StrongLumio profil LED Begtin 12, 3000mm stříbrná elox</v>
      </c>
      <c r="E547" s="77" t="s">
        <v>2456</v>
      </c>
      <c r="F547" s="77" t="s">
        <v>2457</v>
      </c>
      <c r="G547" s="77" t="s">
        <v>2459</v>
      </c>
      <c r="H547" s="77" t="s">
        <v>2458</v>
      </c>
      <c r="I547" s="77" t="s">
        <v>795</v>
      </c>
      <c r="J547" s="90">
        <v>40</v>
      </c>
      <c r="K547" s="91">
        <v>1</v>
      </c>
      <c r="L547" s="77" t="s">
        <v>227</v>
      </c>
      <c r="M547" s="78">
        <v>313.9914</v>
      </c>
      <c r="N547" s="79">
        <v>12.11504</v>
      </c>
      <c r="O547" s="79">
        <v>37.423110000000001</v>
      </c>
      <c r="P547" s="79">
        <v>4217.73999</v>
      </c>
      <c r="Q547" s="77"/>
      <c r="R547" s="77"/>
      <c r="S547" s="77"/>
      <c r="T547" s="77"/>
      <c r="U547" s="77"/>
      <c r="V547" s="87"/>
      <c r="W547" s="87"/>
      <c r="X547" s="87"/>
      <c r="Y547" s="77"/>
      <c r="Z547" s="88"/>
      <c r="AA547" s="35"/>
      <c r="AB547" s="35"/>
    </row>
    <row r="548" spans="1:28" x14ac:dyDescent="0.25">
      <c r="A548" s="68" t="str">
        <f t="shared" si="27"/>
        <v>473446</v>
      </c>
      <c r="B548" s="10">
        <f t="shared" si="28"/>
        <v>402.38040000000001</v>
      </c>
      <c r="C548" s="77" t="s">
        <v>5198</v>
      </c>
      <c r="D548" s="191" t="str">
        <f t="shared" si="26"/>
        <v>StrongLumio profil LED Begton 12 alu anodovaný 4050mm</v>
      </c>
      <c r="E548" s="77" t="s">
        <v>2460</v>
      </c>
      <c r="F548" s="77" t="s">
        <v>2460</v>
      </c>
      <c r="G548" s="77" t="s">
        <v>6461</v>
      </c>
      <c r="H548" s="77" t="s">
        <v>2461</v>
      </c>
      <c r="I548" s="77" t="s">
        <v>795</v>
      </c>
      <c r="J548" s="90">
        <v>40</v>
      </c>
      <c r="K548" s="91">
        <v>1</v>
      </c>
      <c r="L548" s="77" t="s">
        <v>6565</v>
      </c>
      <c r="M548" s="78">
        <v>402.38040000000001</v>
      </c>
      <c r="N548" s="79">
        <v>15.52544</v>
      </c>
      <c r="O548" s="79">
        <v>47.95778</v>
      </c>
      <c r="P548" s="79">
        <v>5607.3999899999999</v>
      </c>
      <c r="Q548" s="77"/>
      <c r="R548" s="77"/>
      <c r="S548" s="77"/>
      <c r="T548" s="77"/>
      <c r="U548" s="77"/>
      <c r="V548" s="87"/>
      <c r="W548" s="87"/>
      <c r="X548" s="87"/>
      <c r="Y548" s="77"/>
      <c r="Z548" s="88"/>
      <c r="AA548" s="35"/>
      <c r="AB548" s="35"/>
    </row>
    <row r="549" spans="1:28" x14ac:dyDescent="0.25">
      <c r="A549" s="68" t="str">
        <f t="shared" si="27"/>
        <v>539662</v>
      </c>
      <c r="B549" s="10">
        <f t="shared" si="28"/>
        <v>420.9</v>
      </c>
      <c r="C549" s="77" t="s">
        <v>5199</v>
      </c>
      <c r="D549" s="191" t="str">
        <f t="shared" si="26"/>
        <v>StrongLumio profil LED Begton 12 alu černá 3000mm</v>
      </c>
      <c r="E549" s="77" t="s">
        <v>2462</v>
      </c>
      <c r="F549" s="77" t="s">
        <v>2463</v>
      </c>
      <c r="G549" s="77" t="s">
        <v>2465</v>
      </c>
      <c r="H549" s="77" t="s">
        <v>2464</v>
      </c>
      <c r="I549" s="77" t="s">
        <v>795</v>
      </c>
      <c r="J549" s="90">
        <v>10</v>
      </c>
      <c r="K549" s="91">
        <v>1</v>
      </c>
      <c r="L549" s="77" t="s">
        <v>227</v>
      </c>
      <c r="M549" s="78">
        <v>420.9</v>
      </c>
      <c r="N549" s="79">
        <v>16.239999999999998</v>
      </c>
      <c r="O549" s="79">
        <v>50.791170000000001</v>
      </c>
      <c r="P549" s="79">
        <v>5863.3899899999997</v>
      </c>
      <c r="Q549" s="77"/>
      <c r="R549" s="77"/>
      <c r="S549" s="77"/>
      <c r="T549" s="77"/>
      <c r="U549" s="77"/>
      <c r="V549" s="87"/>
      <c r="W549" s="87"/>
      <c r="X549" s="87"/>
      <c r="Y549" s="77"/>
      <c r="Z549" s="88"/>
      <c r="AA549" s="35"/>
      <c r="AB549" s="35"/>
    </row>
    <row r="550" spans="1:28" x14ac:dyDescent="0.25">
      <c r="A550" s="68" t="str">
        <f t="shared" si="27"/>
        <v>539663</v>
      </c>
      <c r="B550" s="10">
        <f t="shared" si="28"/>
        <v>569.89859999999999</v>
      </c>
      <c r="C550" s="77" t="s">
        <v>5200</v>
      </c>
      <c r="D550" s="191" t="str">
        <f t="shared" si="26"/>
        <v>StrongLumio profil LED Begton 12 alu černá 4050mm</v>
      </c>
      <c r="E550" s="77" t="s">
        <v>2466</v>
      </c>
      <c r="F550" s="77" t="s">
        <v>2467</v>
      </c>
      <c r="G550" s="77" t="s">
        <v>2469</v>
      </c>
      <c r="H550" s="77" t="s">
        <v>2468</v>
      </c>
      <c r="I550" s="77" t="s">
        <v>795</v>
      </c>
      <c r="J550" s="90">
        <v>10</v>
      </c>
      <c r="K550" s="91">
        <v>1</v>
      </c>
      <c r="L550" s="77" t="s">
        <v>6565</v>
      </c>
      <c r="M550" s="78">
        <v>569.89859999999999</v>
      </c>
      <c r="N550" s="79">
        <v>21.988959999999999</v>
      </c>
      <c r="O550" s="79">
        <v>67.923450000000003</v>
      </c>
      <c r="P550" s="79">
        <v>7935.69</v>
      </c>
      <c r="Q550" s="77"/>
      <c r="R550" s="77"/>
      <c r="S550" s="77"/>
      <c r="T550" s="77"/>
      <c r="U550" s="77"/>
      <c r="V550" s="87"/>
      <c r="W550" s="87"/>
      <c r="X550" s="87"/>
      <c r="Y550" s="77"/>
      <c r="Z550" s="88"/>
      <c r="AA550" s="35"/>
      <c r="AB550" s="35"/>
    </row>
    <row r="551" spans="1:28" x14ac:dyDescent="0.25">
      <c r="A551" s="68" t="str">
        <f t="shared" si="27"/>
        <v>533732</v>
      </c>
      <c r="B551" s="10">
        <f t="shared" si="28"/>
        <v>95.123400000000004</v>
      </c>
      <c r="C551" s="77" t="s">
        <v>5201</v>
      </c>
      <c r="D551" s="191" t="str">
        <f t="shared" si="26"/>
        <v>StrongLumio profil LED Begton 12 alu surový 2000mm</v>
      </c>
      <c r="E551" s="77" t="s">
        <v>2470</v>
      </c>
      <c r="F551" s="77" t="s">
        <v>2470</v>
      </c>
      <c r="G551" s="77" t="s">
        <v>2472</v>
      </c>
      <c r="H551" s="77" t="s">
        <v>2471</v>
      </c>
      <c r="I551" s="77" t="s">
        <v>795</v>
      </c>
      <c r="J551" s="90">
        <v>40</v>
      </c>
      <c r="K551" s="91">
        <v>1</v>
      </c>
      <c r="L551" s="77" t="s">
        <v>6565</v>
      </c>
      <c r="M551" s="78">
        <v>95.123400000000004</v>
      </c>
      <c r="N551" s="79">
        <v>3.6702400000000002</v>
      </c>
      <c r="O551" s="79">
        <v>11.337289999999999</v>
      </c>
      <c r="P551" s="79">
        <v>1328.7099900000001</v>
      </c>
      <c r="Q551" s="77"/>
      <c r="R551" s="77"/>
      <c r="S551" s="77"/>
      <c r="T551" s="77"/>
      <c r="U551" s="77"/>
      <c r="V551" s="87"/>
      <c r="W551" s="87"/>
      <c r="X551" s="87"/>
      <c r="Y551" s="77"/>
      <c r="Z551" s="88"/>
      <c r="AA551" s="35"/>
      <c r="AB551" s="35"/>
    </row>
    <row r="552" spans="1:28" x14ac:dyDescent="0.25">
      <c r="A552" s="68" t="str">
        <f t="shared" si="27"/>
        <v>285042</v>
      </c>
      <c r="B552" s="10">
        <f t="shared" si="28"/>
        <v>289.57920000000001</v>
      </c>
      <c r="C552" s="77" t="s">
        <v>221</v>
      </c>
      <c r="D552" s="191" t="str">
        <f t="shared" si="26"/>
        <v>StrongLumio profil LED Begton 12, 2000mm bílá lak</v>
      </c>
      <c r="E552" s="77" t="s">
        <v>2473</v>
      </c>
      <c r="F552" s="77" t="s">
        <v>2474</v>
      </c>
      <c r="G552" s="77" t="s">
        <v>2476</v>
      </c>
      <c r="H552" s="77" t="s">
        <v>2475</v>
      </c>
      <c r="I552" s="77" t="s">
        <v>795</v>
      </c>
      <c r="J552" s="90">
        <v>50</v>
      </c>
      <c r="K552" s="91">
        <v>1</v>
      </c>
      <c r="L552" s="77" t="s">
        <v>227</v>
      </c>
      <c r="M552" s="78">
        <v>289.57920000000001</v>
      </c>
      <c r="N552" s="79">
        <v>11.173120000000001</v>
      </c>
      <c r="O552" s="79">
        <v>34.513539999999999</v>
      </c>
      <c r="P552" s="79">
        <v>3888.6099899999999</v>
      </c>
      <c r="Q552" s="77"/>
      <c r="R552" s="77"/>
      <c r="S552" s="77"/>
      <c r="T552" s="77"/>
      <c r="U552" s="77"/>
      <c r="V552" s="87"/>
      <c r="W552" s="87"/>
      <c r="X552" s="87"/>
      <c r="Y552" s="77"/>
      <c r="Z552" s="88"/>
      <c r="AA552" s="35"/>
      <c r="AB552" s="35"/>
    </row>
    <row r="553" spans="1:28" x14ac:dyDescent="0.25">
      <c r="A553" s="68" t="str">
        <f t="shared" si="27"/>
        <v>285043</v>
      </c>
      <c r="B553" s="10">
        <f t="shared" si="28"/>
        <v>262.64159999999998</v>
      </c>
      <c r="C553" s="77" t="s">
        <v>239</v>
      </c>
      <c r="D553" s="191" t="str">
        <f t="shared" si="26"/>
        <v>StrongLumio profil LED Begton 12, 2000mm černá elox</v>
      </c>
      <c r="E553" s="77" t="s">
        <v>2477</v>
      </c>
      <c r="F553" s="77" t="s">
        <v>2478</v>
      </c>
      <c r="G553" s="77" t="s">
        <v>2480</v>
      </c>
      <c r="H553" s="77" t="s">
        <v>2479</v>
      </c>
      <c r="I553" s="77" t="s">
        <v>795</v>
      </c>
      <c r="J553" s="90">
        <v>50</v>
      </c>
      <c r="K553" s="91">
        <v>1</v>
      </c>
      <c r="L553" s="77" t="s">
        <v>227</v>
      </c>
      <c r="M553" s="78">
        <v>262.64159999999998</v>
      </c>
      <c r="N553" s="79">
        <v>10.133760000000001</v>
      </c>
      <c r="O553" s="79">
        <v>31.302980000000002</v>
      </c>
      <c r="P553" s="79">
        <v>3535.1000100000001</v>
      </c>
      <c r="Q553" s="77"/>
      <c r="R553" s="77"/>
      <c r="S553" s="77"/>
      <c r="T553" s="77"/>
      <c r="U553" s="77"/>
      <c r="V553" s="87"/>
      <c r="W553" s="87"/>
      <c r="X553" s="87"/>
      <c r="Y553" s="77"/>
      <c r="Z553" s="88"/>
      <c r="AA553" s="35"/>
      <c r="AB553" s="35"/>
    </row>
    <row r="554" spans="1:28" x14ac:dyDescent="0.25">
      <c r="A554" s="68" t="str">
        <f t="shared" si="27"/>
        <v>285041</v>
      </c>
      <c r="B554" s="10">
        <f t="shared" si="28"/>
        <v>186.87960000000001</v>
      </c>
      <c r="C554" s="77" t="s">
        <v>258</v>
      </c>
      <c r="D554" s="191" t="str">
        <f t="shared" si="26"/>
        <v>StrongLumio profil LED Begton 12, 2000mm stříbrná elox</v>
      </c>
      <c r="E554" s="77" t="s">
        <v>2481</v>
      </c>
      <c r="F554" s="77" t="s">
        <v>2482</v>
      </c>
      <c r="G554" s="77" t="s">
        <v>2484</v>
      </c>
      <c r="H554" s="77" t="s">
        <v>2483</v>
      </c>
      <c r="I554" s="77" t="s">
        <v>795</v>
      </c>
      <c r="J554" s="90">
        <v>40</v>
      </c>
      <c r="K554" s="91">
        <v>1</v>
      </c>
      <c r="L554" s="77" t="s">
        <v>227</v>
      </c>
      <c r="M554" s="78">
        <v>186.87960000000001</v>
      </c>
      <c r="N554" s="79">
        <v>7.2105600000000001</v>
      </c>
      <c r="O554" s="79">
        <v>22.27327</v>
      </c>
      <c r="P554" s="79">
        <v>2511.1400100000001</v>
      </c>
      <c r="Q554" s="77"/>
      <c r="R554" s="77"/>
      <c r="S554" s="77"/>
      <c r="T554" s="77"/>
      <c r="U554" s="77"/>
      <c r="V554" s="87"/>
      <c r="W554" s="87"/>
      <c r="X554" s="87"/>
      <c r="Y554" s="77"/>
      <c r="Z554" s="88"/>
      <c r="AA554" s="35"/>
      <c r="AB554" s="35"/>
    </row>
    <row r="555" spans="1:28" x14ac:dyDescent="0.25">
      <c r="A555" s="68" t="str">
        <f t="shared" si="27"/>
        <v>285044</v>
      </c>
      <c r="B555" s="10">
        <f t="shared" si="28"/>
        <v>298.839</v>
      </c>
      <c r="C555" s="77" t="s">
        <v>265</v>
      </c>
      <c r="D555" s="191" t="str">
        <f t="shared" si="26"/>
        <v>StrongLumio profil LED Begton 12, 3000mm stříbrná elox</v>
      </c>
      <c r="E555" s="77" t="s">
        <v>2485</v>
      </c>
      <c r="F555" s="77" t="s">
        <v>2486</v>
      </c>
      <c r="G555" s="77" t="s">
        <v>2488</v>
      </c>
      <c r="H555" s="77" t="s">
        <v>2487</v>
      </c>
      <c r="I555" s="77" t="s">
        <v>795</v>
      </c>
      <c r="J555" s="90">
        <v>40</v>
      </c>
      <c r="K555" s="91">
        <v>1</v>
      </c>
      <c r="L555" s="77" t="s">
        <v>227</v>
      </c>
      <c r="M555" s="78">
        <v>298.839</v>
      </c>
      <c r="N555" s="79">
        <v>11.5304</v>
      </c>
      <c r="O555" s="79">
        <v>35.617179999999998</v>
      </c>
      <c r="P555" s="79">
        <v>4010.51001</v>
      </c>
      <c r="Q555" s="77"/>
      <c r="R555" s="77"/>
      <c r="S555" s="77"/>
      <c r="T555" s="77"/>
      <c r="U555" s="77"/>
      <c r="V555" s="87"/>
      <c r="W555" s="87"/>
      <c r="X555" s="87"/>
      <c r="Y555" s="77"/>
      <c r="Z555" s="88"/>
      <c r="AA555" s="35"/>
      <c r="AB555" s="35"/>
    </row>
    <row r="556" spans="1:28" x14ac:dyDescent="0.25">
      <c r="A556" s="68" t="str">
        <f t="shared" si="27"/>
        <v>342524</v>
      </c>
      <c r="B556" s="10">
        <f t="shared" si="28"/>
        <v>226.84</v>
      </c>
      <c r="C556" s="77" t="s">
        <v>5202</v>
      </c>
      <c r="D556" s="191" t="str">
        <f t="shared" si="26"/>
        <v>StrongLumio profil led Belcore, 2000mm stříbrná elox</v>
      </c>
      <c r="E556" s="77" t="s">
        <v>2489</v>
      </c>
      <c r="F556" s="77" t="s">
        <v>2490</v>
      </c>
      <c r="G556" s="77" t="s">
        <v>2492</v>
      </c>
      <c r="H556" s="77" t="s">
        <v>2491</v>
      </c>
      <c r="I556" s="77" t="s">
        <v>795</v>
      </c>
      <c r="J556" s="90">
        <v>1</v>
      </c>
      <c r="K556" s="91">
        <v>1</v>
      </c>
      <c r="L556" s="77" t="s">
        <v>227</v>
      </c>
      <c r="M556" s="78">
        <v>226.84</v>
      </c>
      <c r="N556" s="79">
        <v>9.0469100000000005</v>
      </c>
      <c r="O556" s="79">
        <v>24.257680000000001</v>
      </c>
      <c r="P556" s="79">
        <v>2987.4886299999998</v>
      </c>
      <c r="Q556" s="77"/>
      <c r="R556" s="77"/>
      <c r="S556" s="77"/>
      <c r="T556" s="77"/>
      <c r="U556" s="77"/>
      <c r="V556" s="87"/>
      <c r="W556" s="87"/>
      <c r="X556" s="87"/>
      <c r="Y556" s="77"/>
      <c r="Z556" s="88"/>
      <c r="AA556" s="35"/>
      <c r="AB556" s="35"/>
    </row>
    <row r="557" spans="1:28" x14ac:dyDescent="0.25">
      <c r="A557" s="68" t="str">
        <f t="shared" si="27"/>
        <v>285082</v>
      </c>
      <c r="B557" s="10">
        <f t="shared" si="28"/>
        <v>94.890249999999995</v>
      </c>
      <c r="C557" s="77" t="s">
        <v>5203</v>
      </c>
      <c r="D557" s="191" t="str">
        <f t="shared" si="26"/>
        <v>StrongLumio profil LED Cabi 12 alu anodovaný 2000mm</v>
      </c>
      <c r="E557" s="77" t="s">
        <v>2493</v>
      </c>
      <c r="F557" s="77" t="s">
        <v>2493</v>
      </c>
      <c r="G557" s="77" t="s">
        <v>2495</v>
      </c>
      <c r="H557" s="77" t="s">
        <v>2494</v>
      </c>
      <c r="I557" s="77" t="s">
        <v>795</v>
      </c>
      <c r="J557" s="90">
        <v>40</v>
      </c>
      <c r="K557" s="91">
        <v>1</v>
      </c>
      <c r="L557" s="77" t="s">
        <v>160</v>
      </c>
      <c r="M557" s="78">
        <v>94.890249999999995</v>
      </c>
      <c r="N557" s="79">
        <v>4.3825599999999998</v>
      </c>
      <c r="O557" s="79">
        <v>17.258479999999999</v>
      </c>
      <c r="P557" s="79">
        <v>2908.96243</v>
      </c>
      <c r="Q557" s="77"/>
      <c r="R557" s="77"/>
      <c r="S557" s="77"/>
      <c r="T557" s="77"/>
      <c r="U557" s="77"/>
      <c r="V557" s="87"/>
      <c r="W557" s="87"/>
      <c r="X557" s="87"/>
      <c r="Y557" s="77"/>
      <c r="Z557" s="88"/>
      <c r="AA557" s="35"/>
      <c r="AB557" s="35"/>
    </row>
    <row r="558" spans="1:28" x14ac:dyDescent="0.25">
      <c r="A558" s="68" t="str">
        <f t="shared" si="27"/>
        <v>469092</v>
      </c>
      <c r="B558" s="10">
        <f t="shared" si="28"/>
        <v>454.572</v>
      </c>
      <c r="C558" s="77" t="s">
        <v>5204</v>
      </c>
      <c r="D558" s="191" t="str">
        <f t="shared" si="26"/>
        <v>StrongLumio profil LED Cabi 12 E alu anodovaný 3000mm</v>
      </c>
      <c r="E558" s="77" t="s">
        <v>2496</v>
      </c>
      <c r="F558" s="77" t="s">
        <v>2496</v>
      </c>
      <c r="G558" s="77" t="s">
        <v>2498</v>
      </c>
      <c r="H558" s="77" t="s">
        <v>2497</v>
      </c>
      <c r="I558" s="77" t="s">
        <v>795</v>
      </c>
      <c r="J558" s="90">
        <v>40</v>
      </c>
      <c r="K558" s="91">
        <v>1</v>
      </c>
      <c r="L558" s="77" t="s">
        <v>6565</v>
      </c>
      <c r="M558" s="78">
        <v>454.572</v>
      </c>
      <c r="N558" s="79">
        <v>17.539200000000001</v>
      </c>
      <c r="O558" s="79">
        <v>71.636709999999994</v>
      </c>
      <c r="P558" s="79">
        <v>6326.61</v>
      </c>
      <c r="Q558" s="77"/>
      <c r="R558" s="77"/>
      <c r="S558" s="77"/>
      <c r="T558" s="77"/>
      <c r="U558" s="77"/>
      <c r="V558" s="87"/>
      <c r="W558" s="87"/>
      <c r="X558" s="87"/>
      <c r="Y558" s="77"/>
      <c r="Z558" s="88"/>
      <c r="AA558" s="35"/>
      <c r="AB558" s="35"/>
    </row>
    <row r="559" spans="1:28" x14ac:dyDescent="0.25">
      <c r="A559" s="68" t="str">
        <f t="shared" si="27"/>
        <v>534610</v>
      </c>
      <c r="B559" s="10">
        <f t="shared" si="28"/>
        <v>616.63679999999999</v>
      </c>
      <c r="C559" s="77" t="s">
        <v>5205</v>
      </c>
      <c r="D559" s="191" t="str">
        <f t="shared" si="26"/>
        <v>StrongLumio profil LED Cabi 12 E alu anodovaný 4050mm</v>
      </c>
      <c r="E559" s="77" t="s">
        <v>2499</v>
      </c>
      <c r="F559" s="77" t="s">
        <v>2499</v>
      </c>
      <c r="G559" s="77" t="s">
        <v>2501</v>
      </c>
      <c r="H559" s="77" t="s">
        <v>2500</v>
      </c>
      <c r="I559" s="77" t="s">
        <v>795</v>
      </c>
      <c r="J559" s="90">
        <v>40</v>
      </c>
      <c r="K559" s="91">
        <v>1</v>
      </c>
      <c r="L559" s="77" t="s">
        <v>6565</v>
      </c>
      <c r="M559" s="78">
        <v>616.63679999999999</v>
      </c>
      <c r="N559" s="79">
        <v>23.67792</v>
      </c>
      <c r="O559" s="79">
        <v>73.140630000000002</v>
      </c>
      <c r="P559" s="79">
        <v>8484.35887</v>
      </c>
      <c r="Q559" s="77"/>
      <c r="R559" s="77"/>
      <c r="S559" s="77"/>
      <c r="T559" s="77"/>
      <c r="U559" s="77"/>
      <c r="V559" s="87"/>
      <c r="W559" s="87"/>
      <c r="X559" s="87"/>
      <c r="Y559" s="77"/>
      <c r="Z559" s="88"/>
      <c r="AA559" s="35"/>
      <c r="AB559" s="35"/>
    </row>
    <row r="560" spans="1:28" x14ac:dyDescent="0.25">
      <c r="A560" s="68" t="str">
        <f t="shared" si="27"/>
        <v>542856</v>
      </c>
      <c r="B560" s="10">
        <f t="shared" si="28"/>
        <v>413.32380000000001</v>
      </c>
      <c r="C560" s="77" t="s">
        <v>5206</v>
      </c>
      <c r="D560" s="191" t="str">
        <f t="shared" si="26"/>
        <v>StrongLumio profil LED Cabi 12 E alu bílá 2000mm</v>
      </c>
      <c r="E560" s="77" t="s">
        <v>2502</v>
      </c>
      <c r="F560" s="77" t="s">
        <v>2503</v>
      </c>
      <c r="G560" s="77" t="s">
        <v>2505</v>
      </c>
      <c r="H560" s="77" t="s">
        <v>2504</v>
      </c>
      <c r="I560" s="77" t="s">
        <v>795</v>
      </c>
      <c r="J560" s="90">
        <v>10</v>
      </c>
      <c r="K560" s="91">
        <v>1</v>
      </c>
      <c r="L560" s="77" t="s">
        <v>6565</v>
      </c>
      <c r="M560" s="78">
        <v>413.32380000000001</v>
      </c>
      <c r="N560" s="79">
        <v>15.94768</v>
      </c>
      <c r="O560" s="79">
        <v>49.262070000000001</v>
      </c>
      <c r="P560" s="79">
        <v>5753.6799899999996</v>
      </c>
      <c r="Q560" s="77"/>
      <c r="R560" s="77"/>
      <c r="S560" s="77"/>
      <c r="T560" s="77"/>
      <c r="U560" s="77"/>
      <c r="V560" s="87"/>
      <c r="W560" s="87"/>
      <c r="X560" s="87"/>
      <c r="Y560" s="77"/>
      <c r="Z560" s="88"/>
      <c r="AA560" s="35"/>
      <c r="AB560" s="35"/>
    </row>
    <row r="561" spans="1:28" x14ac:dyDescent="0.25">
      <c r="A561" s="68" t="str">
        <f t="shared" si="27"/>
        <v>469093</v>
      </c>
      <c r="B561" s="10">
        <f t="shared" si="28"/>
        <v>660.81299999999999</v>
      </c>
      <c r="C561" s="77" t="s">
        <v>5207</v>
      </c>
      <c r="D561" s="191" t="str">
        <f t="shared" si="26"/>
        <v>StrongLumio profil LED Cabi 12 E alu bílá 3000mm</v>
      </c>
      <c r="E561" s="77" t="s">
        <v>2506</v>
      </c>
      <c r="F561" s="77" t="s">
        <v>2507</v>
      </c>
      <c r="G561" s="77" t="s">
        <v>2509</v>
      </c>
      <c r="H561" s="77" t="s">
        <v>2508</v>
      </c>
      <c r="I561" s="77" t="s">
        <v>795</v>
      </c>
      <c r="J561" s="90">
        <v>10</v>
      </c>
      <c r="K561" s="91">
        <v>1</v>
      </c>
      <c r="L561" s="77" t="s">
        <v>6565</v>
      </c>
      <c r="M561" s="78">
        <v>660.81299999999999</v>
      </c>
      <c r="N561" s="79">
        <v>25.4968</v>
      </c>
      <c r="O561" s="79">
        <v>88.778739999999999</v>
      </c>
      <c r="P561" s="79">
        <v>9203.4500100000005</v>
      </c>
      <c r="Q561" s="77"/>
      <c r="R561" s="77"/>
      <c r="S561" s="77"/>
      <c r="T561" s="77"/>
      <c r="U561" s="77"/>
      <c r="V561" s="87"/>
      <c r="W561" s="87"/>
      <c r="X561" s="87"/>
      <c r="Y561" s="77"/>
      <c r="Z561" s="88"/>
      <c r="AA561" s="35"/>
      <c r="AB561" s="35"/>
    </row>
    <row r="562" spans="1:28" x14ac:dyDescent="0.25">
      <c r="A562" s="68" t="str">
        <f t="shared" si="27"/>
        <v>481838</v>
      </c>
      <c r="B562" s="10">
        <f t="shared" si="28"/>
        <v>892.30799999999999</v>
      </c>
      <c r="C562" s="77" t="s">
        <v>5208</v>
      </c>
      <c r="D562" s="191" t="str">
        <f t="shared" si="26"/>
        <v>StrongLumio profil LED Cabi 12 E alu bílý 4050mm</v>
      </c>
      <c r="E562" s="77" t="s">
        <v>2510</v>
      </c>
      <c r="F562" s="77" t="s">
        <v>2511</v>
      </c>
      <c r="G562" s="77" t="s">
        <v>2513</v>
      </c>
      <c r="H562" s="77" t="s">
        <v>2512</v>
      </c>
      <c r="I562" s="77" t="s">
        <v>795</v>
      </c>
      <c r="J562" s="90">
        <v>10</v>
      </c>
      <c r="K562" s="91">
        <v>1</v>
      </c>
      <c r="L562" s="77" t="s">
        <v>6565</v>
      </c>
      <c r="M562" s="78">
        <v>892.30799999999999</v>
      </c>
      <c r="N562" s="79">
        <v>34.428800000000003</v>
      </c>
      <c r="O562" s="79">
        <v>106.34988</v>
      </c>
      <c r="P562" s="79">
        <v>12433.8</v>
      </c>
      <c r="Q562" s="77"/>
      <c r="R562" s="77"/>
      <c r="S562" s="77"/>
      <c r="T562" s="77"/>
      <c r="U562" s="77"/>
      <c r="V562" s="87"/>
      <c r="W562" s="87"/>
      <c r="X562" s="87"/>
      <c r="Y562" s="77"/>
      <c r="Z562" s="88"/>
      <c r="AA562" s="35"/>
      <c r="AB562" s="35"/>
    </row>
    <row r="563" spans="1:28" x14ac:dyDescent="0.25">
      <c r="A563" s="68" t="str">
        <f t="shared" si="27"/>
        <v>315780</v>
      </c>
      <c r="B563" s="10">
        <f t="shared" si="28"/>
        <v>404.9058</v>
      </c>
      <c r="C563" s="77" t="s">
        <v>5209</v>
      </c>
      <c r="D563" s="191" t="str">
        <f t="shared" si="26"/>
        <v>StrongLumio profil LED Cabi 12 E alu černý 2000mm</v>
      </c>
      <c r="E563" s="77" t="s">
        <v>2514</v>
      </c>
      <c r="F563" s="77" t="s">
        <v>2515</v>
      </c>
      <c r="G563" s="77" t="s">
        <v>2517</v>
      </c>
      <c r="H563" s="77" t="s">
        <v>2516</v>
      </c>
      <c r="I563" s="77" t="s">
        <v>795</v>
      </c>
      <c r="J563" s="90">
        <v>50</v>
      </c>
      <c r="K563" s="91">
        <v>1</v>
      </c>
      <c r="L563" s="77" t="s">
        <v>6565</v>
      </c>
      <c r="M563" s="78">
        <v>404.9058</v>
      </c>
      <c r="N563" s="79">
        <v>15.62288</v>
      </c>
      <c r="O563" s="79">
        <v>48.258760000000002</v>
      </c>
      <c r="P563" s="79">
        <v>5643.9699899999996</v>
      </c>
      <c r="Q563" s="77"/>
      <c r="R563" s="77"/>
      <c r="S563" s="77"/>
      <c r="T563" s="77"/>
      <c r="U563" s="77"/>
      <c r="V563" s="87"/>
      <c r="W563" s="87"/>
      <c r="X563" s="87"/>
      <c r="Y563" s="77"/>
      <c r="Z563" s="88"/>
      <c r="AA563" s="35"/>
      <c r="AB563" s="35"/>
    </row>
    <row r="564" spans="1:28" x14ac:dyDescent="0.25">
      <c r="A564" s="68" t="str">
        <f t="shared" si="27"/>
        <v>484130</v>
      </c>
      <c r="B564" s="10">
        <f t="shared" si="28"/>
        <v>648.18600000000004</v>
      </c>
      <c r="C564" s="77" t="s">
        <v>5210</v>
      </c>
      <c r="D564" s="191" t="str">
        <f t="shared" si="26"/>
        <v>StrongLumio profil LED Cabi 12 E alu černý 3000mm</v>
      </c>
      <c r="E564" s="77" t="s">
        <v>2518</v>
      </c>
      <c r="F564" s="77" t="s">
        <v>2519</v>
      </c>
      <c r="G564" s="77" t="s">
        <v>2521</v>
      </c>
      <c r="H564" s="77" t="s">
        <v>2520</v>
      </c>
      <c r="I564" s="77" t="s">
        <v>795</v>
      </c>
      <c r="J564" s="90">
        <v>10</v>
      </c>
      <c r="K564" s="91">
        <v>1</v>
      </c>
      <c r="L564" s="77" t="s">
        <v>6565</v>
      </c>
      <c r="M564" s="78">
        <v>648.18600000000004</v>
      </c>
      <c r="N564" s="79">
        <v>25.009599999999999</v>
      </c>
      <c r="O564" s="79">
        <v>96.175629999999998</v>
      </c>
      <c r="P564" s="79">
        <v>9032.7900000000009</v>
      </c>
      <c r="Q564" s="77"/>
      <c r="R564" s="77"/>
      <c r="S564" s="77"/>
      <c r="T564" s="77"/>
      <c r="U564" s="77"/>
      <c r="V564" s="87"/>
      <c r="W564" s="87"/>
      <c r="X564" s="87"/>
      <c r="Y564" s="77"/>
      <c r="Z564" s="88"/>
      <c r="AA564" s="35"/>
      <c r="AB564" s="35"/>
    </row>
    <row r="565" spans="1:28" x14ac:dyDescent="0.25">
      <c r="A565" s="68" t="str">
        <f t="shared" si="27"/>
        <v>548423</v>
      </c>
      <c r="B565" s="10">
        <f t="shared" si="28"/>
        <v>850.21799999999996</v>
      </c>
      <c r="C565" s="77" t="s">
        <v>5211</v>
      </c>
      <c r="D565" s="191" t="str">
        <f t="shared" si="26"/>
        <v>StrongLumio profil LED Cabi 12 E alu černý 4050mm</v>
      </c>
      <c r="E565" s="77" t="s">
        <v>2522</v>
      </c>
      <c r="F565" s="77" t="s">
        <v>2523</v>
      </c>
      <c r="G565" s="77" t="s">
        <v>2525</v>
      </c>
      <c r="H565" s="77" t="s">
        <v>2524</v>
      </c>
      <c r="I565" s="77" t="s">
        <v>795</v>
      </c>
      <c r="J565" s="90">
        <v>40</v>
      </c>
      <c r="K565" s="91">
        <v>1</v>
      </c>
      <c r="L565" s="77" t="s">
        <v>6565</v>
      </c>
      <c r="M565" s="78">
        <v>850.21799999999996</v>
      </c>
      <c r="N565" s="79">
        <v>32.8048</v>
      </c>
      <c r="O565" s="79">
        <v>101.33338000000001</v>
      </c>
      <c r="P565" s="79">
        <v>11848.68</v>
      </c>
      <c r="Q565" s="77"/>
      <c r="R565" s="77"/>
      <c r="S565" s="77"/>
      <c r="T565" s="77"/>
      <c r="U565" s="77"/>
      <c r="V565" s="87"/>
      <c r="W565" s="87"/>
      <c r="X565" s="87"/>
      <c r="Y565" s="77"/>
      <c r="Z565" s="88"/>
      <c r="AA565" s="35"/>
      <c r="AB565" s="35"/>
    </row>
    <row r="566" spans="1:28" x14ac:dyDescent="0.25">
      <c r="A566" s="68" t="str">
        <f t="shared" si="27"/>
        <v>406041</v>
      </c>
      <c r="B566" s="10">
        <f t="shared" si="28"/>
        <v>283.6866</v>
      </c>
      <c r="C566" s="77" t="s">
        <v>359</v>
      </c>
      <c r="D566" s="191" t="str">
        <f t="shared" si="26"/>
        <v>StrongLumio profil LED Cabi 12 E, 2000mm stříbrná elox</v>
      </c>
      <c r="E566" s="77" t="s">
        <v>2526</v>
      </c>
      <c r="F566" s="77" t="s">
        <v>2527</v>
      </c>
      <c r="G566" s="77" t="s">
        <v>2529</v>
      </c>
      <c r="H566" s="77" t="s">
        <v>2528</v>
      </c>
      <c r="I566" s="77" t="s">
        <v>795</v>
      </c>
      <c r="J566" s="90">
        <v>40</v>
      </c>
      <c r="K566" s="91">
        <v>1</v>
      </c>
      <c r="L566" s="77" t="s">
        <v>227</v>
      </c>
      <c r="M566" s="78">
        <v>283.6866</v>
      </c>
      <c r="N566" s="79">
        <v>10.94576</v>
      </c>
      <c r="O566" s="79">
        <v>33.811239999999998</v>
      </c>
      <c r="P566" s="79">
        <v>3815.4699900000001</v>
      </c>
      <c r="Q566" s="77"/>
      <c r="R566" s="77"/>
      <c r="S566" s="77"/>
      <c r="T566" s="77"/>
      <c r="U566" s="77"/>
      <c r="V566" s="87"/>
      <c r="W566" s="87"/>
      <c r="X566" s="87"/>
      <c r="Y566" s="77"/>
      <c r="Z566" s="88"/>
      <c r="AA566" s="35"/>
      <c r="AB566" s="35"/>
    </row>
    <row r="567" spans="1:28" x14ac:dyDescent="0.25">
      <c r="A567" s="68" t="str">
        <f t="shared" si="27"/>
        <v>231271</v>
      </c>
      <c r="B567" s="10">
        <f t="shared" si="28"/>
        <v>261.7998</v>
      </c>
      <c r="C567" s="77" t="s">
        <v>5212</v>
      </c>
      <c r="D567" s="191" t="str">
        <f t="shared" si="26"/>
        <v>StrongLumio profil LED Corner 10, 1000mm bílá lak</v>
      </c>
      <c r="E567" s="77" t="s">
        <v>2530</v>
      </c>
      <c r="F567" s="77" t="s">
        <v>2531</v>
      </c>
      <c r="G567" s="77" t="s">
        <v>2533</v>
      </c>
      <c r="H567" s="77" t="s">
        <v>2532</v>
      </c>
      <c r="I567" s="77" t="s">
        <v>795</v>
      </c>
      <c r="J567" s="90">
        <v>40</v>
      </c>
      <c r="K567" s="91">
        <v>1</v>
      </c>
      <c r="L567" s="77" t="s">
        <v>6565</v>
      </c>
      <c r="M567" s="78">
        <v>261.7998</v>
      </c>
      <c r="N567" s="79">
        <v>10.101279999999999</v>
      </c>
      <c r="O567" s="79">
        <v>31.202660000000002</v>
      </c>
      <c r="P567" s="79">
        <v>3644.8100100000001</v>
      </c>
      <c r="Q567" s="77"/>
      <c r="R567" s="77"/>
      <c r="S567" s="77"/>
      <c r="T567" s="77"/>
      <c r="U567" s="77"/>
      <c r="V567" s="87"/>
      <c r="W567" s="87"/>
      <c r="X567" s="87"/>
      <c r="Y567" s="77"/>
      <c r="Z567" s="88"/>
      <c r="AA567" s="35"/>
      <c r="AB567" s="35"/>
    </row>
    <row r="568" spans="1:28" x14ac:dyDescent="0.25">
      <c r="A568" s="68" t="str">
        <f t="shared" si="27"/>
        <v>231270</v>
      </c>
      <c r="B568" s="10">
        <f t="shared" si="28"/>
        <v>236.28960000000001</v>
      </c>
      <c r="C568" s="77" t="s">
        <v>5213</v>
      </c>
      <c r="D568" s="191" t="str">
        <f t="shared" si="26"/>
        <v>StrongLumio profil LED Corner 10, 1000mm černá elox</v>
      </c>
      <c r="E568" s="77" t="s">
        <v>2534</v>
      </c>
      <c r="F568" s="77" t="s">
        <v>2535</v>
      </c>
      <c r="G568" s="77" t="s">
        <v>2537</v>
      </c>
      <c r="H568" s="77" t="s">
        <v>2536</v>
      </c>
      <c r="I568" s="77" t="s">
        <v>795</v>
      </c>
      <c r="J568" s="90">
        <v>40</v>
      </c>
      <c r="K568" s="91">
        <v>1</v>
      </c>
      <c r="L568" s="77" t="s">
        <v>6565</v>
      </c>
      <c r="M568" s="78">
        <v>236.28960000000001</v>
      </c>
      <c r="N568" s="79">
        <v>9.0944000000000003</v>
      </c>
      <c r="O568" s="79">
        <v>28.092410000000001</v>
      </c>
      <c r="P568" s="79">
        <v>3251.1289700000002</v>
      </c>
      <c r="Q568" s="77"/>
      <c r="R568" s="77"/>
      <c r="S568" s="77"/>
      <c r="T568" s="77"/>
      <c r="U568" s="77"/>
      <c r="V568" s="87"/>
      <c r="W568" s="87"/>
      <c r="X568" s="87"/>
      <c r="Y568" s="77"/>
      <c r="Z568" s="88"/>
      <c r="AA568" s="35"/>
      <c r="AB568" s="35"/>
    </row>
    <row r="569" spans="1:28" x14ac:dyDescent="0.25">
      <c r="A569" s="68" t="str">
        <f t="shared" si="27"/>
        <v>130636</v>
      </c>
      <c r="B569" s="10">
        <f t="shared" si="28"/>
        <v>173.41079999999999</v>
      </c>
      <c r="C569" s="77" t="s">
        <v>368</v>
      </c>
      <c r="D569" s="191" t="str">
        <f t="shared" si="26"/>
        <v>StrongLumio profil LED Corner 10, 1000mm stříbrná elox</v>
      </c>
      <c r="E569" s="77" t="s">
        <v>2538</v>
      </c>
      <c r="F569" s="77" t="s">
        <v>2539</v>
      </c>
      <c r="G569" s="77" t="s">
        <v>2541</v>
      </c>
      <c r="H569" s="77" t="s">
        <v>2540</v>
      </c>
      <c r="I569" s="77" t="s">
        <v>795</v>
      </c>
      <c r="J569" s="90">
        <v>40</v>
      </c>
      <c r="K569" s="91">
        <v>1</v>
      </c>
      <c r="L569" s="77" t="s">
        <v>227</v>
      </c>
      <c r="M569" s="78">
        <v>173.41079999999999</v>
      </c>
      <c r="N569" s="79">
        <v>6.6908799999999999</v>
      </c>
      <c r="O569" s="79">
        <v>20.66799</v>
      </c>
      <c r="P569" s="79">
        <v>2328.2900100000002</v>
      </c>
      <c r="Q569" s="77"/>
      <c r="R569" s="77"/>
      <c r="S569" s="77"/>
      <c r="T569" s="77"/>
      <c r="U569" s="77"/>
      <c r="V569" s="87"/>
      <c r="W569" s="87"/>
      <c r="X569" s="87"/>
      <c r="Y569" s="77"/>
      <c r="Z569" s="88"/>
      <c r="AA569" s="35"/>
      <c r="AB569" s="35"/>
    </row>
    <row r="570" spans="1:28" x14ac:dyDescent="0.25">
      <c r="A570" s="68" t="str">
        <f t="shared" si="27"/>
        <v>230908</v>
      </c>
      <c r="B570" s="10">
        <f t="shared" si="28"/>
        <v>505.92180000000002</v>
      </c>
      <c r="C570" s="77" t="s">
        <v>338</v>
      </c>
      <c r="D570" s="191" t="str">
        <f t="shared" si="26"/>
        <v>StrongLumio profil LED Corner 10, 2000mm bílá lak</v>
      </c>
      <c r="E570" s="77" t="s">
        <v>2542</v>
      </c>
      <c r="F570" s="77" t="s">
        <v>2543</v>
      </c>
      <c r="G570" s="77" t="s">
        <v>2545</v>
      </c>
      <c r="H570" s="77" t="s">
        <v>2544</v>
      </c>
      <c r="I570" s="77" t="s">
        <v>795</v>
      </c>
      <c r="J570" s="90">
        <v>40</v>
      </c>
      <c r="K570" s="91">
        <v>1</v>
      </c>
      <c r="L570" s="77" t="s">
        <v>227</v>
      </c>
      <c r="M570" s="78">
        <v>505.92180000000002</v>
      </c>
      <c r="N570" s="79">
        <v>19.520479999999999</v>
      </c>
      <c r="O570" s="79">
        <v>60.298369999999998</v>
      </c>
      <c r="P570" s="79">
        <v>6802.02</v>
      </c>
      <c r="Q570" s="77"/>
      <c r="R570" s="77"/>
      <c r="S570" s="77"/>
      <c r="T570" s="77"/>
      <c r="U570" s="77"/>
      <c r="V570" s="87"/>
      <c r="W570" s="87"/>
      <c r="X570" s="87"/>
      <c r="Y570" s="77"/>
      <c r="Z570" s="88"/>
      <c r="AA570" s="35"/>
      <c r="AB570" s="35"/>
    </row>
    <row r="571" spans="1:28" x14ac:dyDescent="0.25">
      <c r="A571" s="68" t="str">
        <f t="shared" si="27"/>
        <v>230907</v>
      </c>
      <c r="B571" s="10">
        <f t="shared" si="28"/>
        <v>452.88839999999999</v>
      </c>
      <c r="C571" s="77" t="s">
        <v>348</v>
      </c>
      <c r="D571" s="191" t="str">
        <f t="shared" si="26"/>
        <v>StrongLumio profil LED Corner 10, 2000mm černá elox</v>
      </c>
      <c r="E571" s="77" t="s">
        <v>2546</v>
      </c>
      <c r="F571" s="77" t="s">
        <v>2547</v>
      </c>
      <c r="G571" s="77" t="s">
        <v>2549</v>
      </c>
      <c r="H571" s="77" t="s">
        <v>2548</v>
      </c>
      <c r="I571" s="77" t="s">
        <v>795</v>
      </c>
      <c r="J571" s="90">
        <v>40</v>
      </c>
      <c r="K571" s="91">
        <v>1</v>
      </c>
      <c r="L571" s="77" t="s">
        <v>227</v>
      </c>
      <c r="M571" s="78">
        <v>452.88839999999999</v>
      </c>
      <c r="N571" s="79">
        <v>17.474240000000002</v>
      </c>
      <c r="O571" s="79">
        <v>53.977580000000003</v>
      </c>
      <c r="P571" s="79">
        <v>6082.8099899999997</v>
      </c>
      <c r="Q571" s="77"/>
      <c r="R571" s="77"/>
      <c r="S571" s="77"/>
      <c r="T571" s="77"/>
      <c r="U571" s="77"/>
      <c r="V571" s="87"/>
      <c r="W571" s="87"/>
      <c r="X571" s="87"/>
      <c r="Y571" s="77"/>
      <c r="Z571" s="88"/>
      <c r="AA571" s="35"/>
      <c r="AB571" s="35"/>
    </row>
    <row r="572" spans="1:28" x14ac:dyDescent="0.25">
      <c r="A572" s="68" t="str">
        <f t="shared" si="27"/>
        <v>130637</v>
      </c>
      <c r="B572" s="10">
        <f t="shared" si="28"/>
        <v>340.0872</v>
      </c>
      <c r="C572" s="77" t="s">
        <v>375</v>
      </c>
      <c r="D572" s="191" t="str">
        <f t="shared" si="26"/>
        <v>StrongLumio profil LED Corner 10, 2000mm stříbrná elox</v>
      </c>
      <c r="E572" s="77" t="s">
        <v>2550</v>
      </c>
      <c r="F572" s="77" t="s">
        <v>2551</v>
      </c>
      <c r="G572" s="77" t="s">
        <v>2553</v>
      </c>
      <c r="H572" s="77" t="s">
        <v>2552</v>
      </c>
      <c r="I572" s="77" t="s">
        <v>795</v>
      </c>
      <c r="J572" s="90">
        <v>40</v>
      </c>
      <c r="K572" s="91">
        <v>1</v>
      </c>
      <c r="L572" s="77" t="s">
        <v>276</v>
      </c>
      <c r="M572" s="78">
        <v>340.0872</v>
      </c>
      <c r="N572" s="79">
        <v>13.121919999999999</v>
      </c>
      <c r="O572" s="79">
        <v>40.533340000000003</v>
      </c>
      <c r="P572" s="79">
        <v>4559.0600100000001</v>
      </c>
      <c r="Q572" s="77"/>
      <c r="R572" s="77"/>
      <c r="S572" s="77"/>
      <c r="T572" s="77"/>
      <c r="U572" s="77"/>
      <c r="V572" s="87"/>
      <c r="W572" s="87"/>
      <c r="X572" s="87"/>
      <c r="Y572" s="77"/>
      <c r="Z572" s="88"/>
      <c r="AA572" s="35"/>
      <c r="AB572" s="35"/>
    </row>
    <row r="573" spans="1:28" x14ac:dyDescent="0.25">
      <c r="A573" s="68" t="str">
        <f t="shared" si="27"/>
        <v>285026</v>
      </c>
      <c r="B573" s="10">
        <f t="shared" si="28"/>
        <v>793.81740000000002</v>
      </c>
      <c r="C573" s="77" t="s">
        <v>345</v>
      </c>
      <c r="D573" s="191" t="str">
        <f t="shared" si="26"/>
        <v>StrongLumio profil LED Corner 10, 3000mm bílá lak</v>
      </c>
      <c r="E573" s="77" t="s">
        <v>2554</v>
      </c>
      <c r="F573" s="77" t="s">
        <v>2555</v>
      </c>
      <c r="G573" s="77" t="s">
        <v>2557</v>
      </c>
      <c r="H573" s="77" t="s">
        <v>2556</v>
      </c>
      <c r="I573" s="77" t="s">
        <v>795</v>
      </c>
      <c r="J573" s="90">
        <v>10</v>
      </c>
      <c r="K573" s="91">
        <v>1</v>
      </c>
      <c r="L573" s="77" t="s">
        <v>227</v>
      </c>
      <c r="M573" s="78">
        <v>793.81740000000002</v>
      </c>
      <c r="N573" s="79">
        <v>30.628640000000001</v>
      </c>
      <c r="O573" s="79">
        <v>94.611260000000001</v>
      </c>
      <c r="P573" s="79">
        <v>10654.05999</v>
      </c>
      <c r="Q573" s="77"/>
      <c r="R573" s="77"/>
      <c r="S573" s="77"/>
      <c r="T573" s="77"/>
      <c r="U573" s="77"/>
      <c r="V573" s="87"/>
      <c r="W573" s="87"/>
      <c r="X573" s="87"/>
      <c r="Y573" s="77"/>
      <c r="Z573" s="88"/>
      <c r="AA573" s="35"/>
      <c r="AB573" s="35"/>
    </row>
    <row r="574" spans="1:28" x14ac:dyDescent="0.25">
      <c r="A574" s="68" t="str">
        <f t="shared" si="27"/>
        <v>285025</v>
      </c>
      <c r="B574" s="10">
        <f t="shared" si="28"/>
        <v>724.78980000000001</v>
      </c>
      <c r="C574" s="77" t="s">
        <v>355</v>
      </c>
      <c r="D574" s="191" t="str">
        <f t="shared" si="26"/>
        <v>StrongLumio profil LED Corner 10, 3000mm černá elox</v>
      </c>
      <c r="E574" s="77" t="s">
        <v>2558</v>
      </c>
      <c r="F574" s="77" t="s">
        <v>2559</v>
      </c>
      <c r="G574" s="77" t="s">
        <v>2561</v>
      </c>
      <c r="H574" s="77" t="s">
        <v>2560</v>
      </c>
      <c r="I574" s="77" t="s">
        <v>795</v>
      </c>
      <c r="J574" s="90">
        <v>10</v>
      </c>
      <c r="K574" s="91">
        <v>1</v>
      </c>
      <c r="L574" s="77" t="s">
        <v>227</v>
      </c>
      <c r="M574" s="78">
        <v>724.78980000000001</v>
      </c>
      <c r="N574" s="79">
        <v>27.96528</v>
      </c>
      <c r="O574" s="79">
        <v>89.404790000000006</v>
      </c>
      <c r="P574" s="79">
        <v>9727.6200000000008</v>
      </c>
      <c r="Q574" s="77"/>
      <c r="R574" s="77"/>
      <c r="S574" s="77"/>
      <c r="T574" s="77"/>
      <c r="U574" s="77"/>
      <c r="V574" s="87"/>
      <c r="W574" s="87"/>
      <c r="X574" s="87"/>
      <c r="Y574" s="77"/>
      <c r="Z574" s="88"/>
      <c r="AA574" s="35"/>
      <c r="AB574" s="35"/>
    </row>
    <row r="575" spans="1:28" x14ac:dyDescent="0.25">
      <c r="A575" s="68" t="str">
        <f t="shared" si="27"/>
        <v>244329</v>
      </c>
      <c r="B575" s="10">
        <f t="shared" si="28"/>
        <v>526.125</v>
      </c>
      <c r="C575" s="77" t="s">
        <v>378</v>
      </c>
      <c r="D575" s="191" t="str">
        <f t="shared" si="26"/>
        <v>StrongLumio profil LED Corner 10, 3000mm stříbrná elox</v>
      </c>
      <c r="E575" s="77" t="s">
        <v>2562</v>
      </c>
      <c r="F575" s="77" t="s">
        <v>2563</v>
      </c>
      <c r="G575" s="77" t="s">
        <v>2565</v>
      </c>
      <c r="H575" s="77" t="s">
        <v>2564</v>
      </c>
      <c r="I575" s="77" t="s">
        <v>795</v>
      </c>
      <c r="J575" s="90">
        <v>40</v>
      </c>
      <c r="K575" s="91">
        <v>1</v>
      </c>
      <c r="L575" s="77" t="s">
        <v>227</v>
      </c>
      <c r="M575" s="78">
        <v>526.125</v>
      </c>
      <c r="N575" s="79">
        <v>20.3</v>
      </c>
      <c r="O575" s="79">
        <v>62.706290000000003</v>
      </c>
      <c r="P575" s="79">
        <v>7058.01</v>
      </c>
      <c r="Q575" s="77"/>
      <c r="R575" s="77"/>
      <c r="S575" s="77"/>
      <c r="T575" s="77"/>
      <c r="U575" s="77"/>
      <c r="V575" s="87"/>
      <c r="W575" s="87"/>
      <c r="X575" s="87"/>
      <c r="Y575" s="77"/>
      <c r="Z575" s="88"/>
      <c r="AA575" s="35"/>
      <c r="AB575" s="35"/>
    </row>
    <row r="576" spans="1:28" x14ac:dyDescent="0.25">
      <c r="A576" s="68" t="str">
        <f t="shared" si="27"/>
        <v>353538</v>
      </c>
      <c r="B576" s="10">
        <f t="shared" si="28"/>
        <v>1049.7246</v>
      </c>
      <c r="C576" s="77" t="s">
        <v>346</v>
      </c>
      <c r="D576" s="191" t="str">
        <f t="shared" si="26"/>
        <v>StrongLumio profil LED Corner 10, 4050mm bílá lak</v>
      </c>
      <c r="E576" s="77" t="s">
        <v>2566</v>
      </c>
      <c r="F576" s="77" t="s">
        <v>2567</v>
      </c>
      <c r="G576" s="77" t="s">
        <v>2569</v>
      </c>
      <c r="H576" s="77" t="s">
        <v>2568</v>
      </c>
      <c r="I576" s="77" t="s">
        <v>795</v>
      </c>
      <c r="J576" s="90">
        <v>10</v>
      </c>
      <c r="K576" s="91">
        <v>1</v>
      </c>
      <c r="L576" s="77" t="s">
        <v>227</v>
      </c>
      <c r="M576" s="78">
        <v>1049.7246</v>
      </c>
      <c r="N576" s="79">
        <v>40.502560000000003</v>
      </c>
      <c r="O576" s="79">
        <v>125.1116</v>
      </c>
      <c r="P576" s="79">
        <v>14091.63999</v>
      </c>
      <c r="Q576" s="77"/>
      <c r="R576" s="77"/>
      <c r="S576" s="77"/>
      <c r="T576" s="77"/>
      <c r="U576" s="77"/>
      <c r="V576" s="87"/>
      <c r="W576" s="87"/>
      <c r="X576" s="87"/>
      <c r="Y576" s="77"/>
      <c r="Z576" s="88"/>
      <c r="AA576" s="35"/>
      <c r="AB576" s="35"/>
    </row>
    <row r="577" spans="1:28" x14ac:dyDescent="0.25">
      <c r="A577" s="68" t="str">
        <f t="shared" si="27"/>
        <v>353539</v>
      </c>
      <c r="B577" s="10">
        <f t="shared" si="28"/>
        <v>940.29060000000004</v>
      </c>
      <c r="C577" s="77" t="s">
        <v>357</v>
      </c>
      <c r="D577" s="191" t="str">
        <f t="shared" si="26"/>
        <v>StrongLumio profil LED Corner 10, 4050mm černá elox</v>
      </c>
      <c r="E577" s="77" t="s">
        <v>2570</v>
      </c>
      <c r="F577" s="77" t="s">
        <v>2571</v>
      </c>
      <c r="G577" s="77" t="s">
        <v>2573</v>
      </c>
      <c r="H577" s="77" t="s">
        <v>2572</v>
      </c>
      <c r="I577" s="77" t="s">
        <v>795</v>
      </c>
      <c r="J577" s="90">
        <v>10</v>
      </c>
      <c r="K577" s="91">
        <v>1</v>
      </c>
      <c r="L577" s="77" t="s">
        <v>227</v>
      </c>
      <c r="M577" s="78">
        <v>940.29060000000004</v>
      </c>
      <c r="N577" s="79">
        <v>36.280160000000002</v>
      </c>
      <c r="O577" s="79">
        <v>112.06868</v>
      </c>
      <c r="P577" s="79">
        <v>12628.83999</v>
      </c>
      <c r="Q577" s="77"/>
      <c r="R577" s="77"/>
      <c r="S577" s="77"/>
      <c r="T577" s="77"/>
      <c r="U577" s="77"/>
      <c r="V577" s="87"/>
      <c r="W577" s="87"/>
      <c r="X577" s="87"/>
      <c r="Y577" s="77"/>
      <c r="Z577" s="88"/>
      <c r="AA577" s="35"/>
      <c r="AB577" s="35"/>
    </row>
    <row r="578" spans="1:28" x14ac:dyDescent="0.25">
      <c r="A578" s="68" t="str">
        <f t="shared" si="27"/>
        <v>252278</v>
      </c>
      <c r="B578" s="10">
        <f t="shared" si="28"/>
        <v>675.96540000000005</v>
      </c>
      <c r="C578" s="77" t="s">
        <v>379</v>
      </c>
      <c r="D578" s="191" t="str">
        <f t="shared" si="26"/>
        <v>StrongLumio profil LED Corner 10, 4050mm stříbrná elox</v>
      </c>
      <c r="E578" s="77" t="s">
        <v>2574</v>
      </c>
      <c r="F578" s="77" t="s">
        <v>2575</v>
      </c>
      <c r="G578" s="77" t="s">
        <v>2577</v>
      </c>
      <c r="H578" s="77" t="s">
        <v>2576</v>
      </c>
      <c r="I578" s="77" t="s">
        <v>795</v>
      </c>
      <c r="J578" s="90">
        <v>40</v>
      </c>
      <c r="K578" s="91">
        <v>1</v>
      </c>
      <c r="L578" s="77" t="s">
        <v>227</v>
      </c>
      <c r="M578" s="78">
        <v>675.96540000000005</v>
      </c>
      <c r="N578" s="79">
        <v>26.081440000000001</v>
      </c>
      <c r="O578" s="79">
        <v>80.565049999999999</v>
      </c>
      <c r="P578" s="79">
        <v>9081.5499899999995</v>
      </c>
      <c r="Q578" s="77"/>
      <c r="R578" s="77"/>
      <c r="S578" s="77"/>
      <c r="T578" s="77"/>
      <c r="U578" s="77"/>
      <c r="V578" s="87"/>
      <c r="W578" s="87"/>
      <c r="X578" s="87"/>
      <c r="Y578" s="77"/>
      <c r="Z578" s="88"/>
      <c r="AA578" s="35"/>
      <c r="AB578" s="35"/>
    </row>
    <row r="579" spans="1:28" x14ac:dyDescent="0.25">
      <c r="A579" s="68" t="str">
        <f t="shared" si="27"/>
        <v>408364</v>
      </c>
      <c r="B579" s="10">
        <f t="shared" si="28"/>
        <v>412.48200000000003</v>
      </c>
      <c r="C579" s="77" t="s">
        <v>5214</v>
      </c>
      <c r="D579" s="191" t="str">
        <f t="shared" ref="D579:D642" si="29">IF($B$1=1,E579,IF($B$1=2,F579,IF($B$1=3,G579,IF($B$1=4,H579))))</f>
        <v>StrongLumio profil LED Corner 14 alu anodovaný 2000mm</v>
      </c>
      <c r="E579" s="77" t="s">
        <v>2578</v>
      </c>
      <c r="F579" s="77" t="s">
        <v>2578</v>
      </c>
      <c r="G579" s="77" t="s">
        <v>2580</v>
      </c>
      <c r="H579" s="77" t="s">
        <v>2579</v>
      </c>
      <c r="I579" s="77" t="s">
        <v>795</v>
      </c>
      <c r="J579" s="90">
        <v>40</v>
      </c>
      <c r="K579" s="91">
        <v>1</v>
      </c>
      <c r="L579" s="77" t="s">
        <v>6565</v>
      </c>
      <c r="M579" s="78">
        <v>412.48200000000003</v>
      </c>
      <c r="N579" s="79">
        <v>15.9152</v>
      </c>
      <c r="O579" s="79">
        <v>49.161740000000002</v>
      </c>
      <c r="P579" s="79">
        <v>5741.49</v>
      </c>
      <c r="Q579" s="77"/>
      <c r="R579" s="77"/>
      <c r="S579" s="77"/>
      <c r="T579" s="77"/>
      <c r="U579" s="77"/>
      <c r="V579" s="87"/>
      <c r="W579" s="87"/>
      <c r="X579" s="87"/>
      <c r="Y579" s="77"/>
      <c r="Z579" s="88"/>
      <c r="AA579" s="35"/>
      <c r="AB579" s="35"/>
    </row>
    <row r="580" spans="1:28" x14ac:dyDescent="0.25">
      <c r="A580" s="68" t="str">
        <f t="shared" si="27"/>
        <v>522724</v>
      </c>
      <c r="B580" s="10">
        <f t="shared" si="28"/>
        <v>555.58799999999997</v>
      </c>
      <c r="C580" s="77" t="s">
        <v>5215</v>
      </c>
      <c r="D580" s="191" t="str">
        <f t="shared" si="29"/>
        <v>StrongLumio profil LED Corner 14 černý alu anodovaný 2000mm</v>
      </c>
      <c r="E580" s="77" t="s">
        <v>2581</v>
      </c>
      <c r="F580" s="77" t="s">
        <v>2582</v>
      </c>
      <c r="G580" s="77" t="s">
        <v>2580</v>
      </c>
      <c r="H580" s="77" t="s">
        <v>2583</v>
      </c>
      <c r="I580" s="77" t="s">
        <v>795</v>
      </c>
      <c r="J580" s="90">
        <v>30</v>
      </c>
      <c r="K580" s="91">
        <v>1</v>
      </c>
      <c r="L580" s="77" t="s">
        <v>6565</v>
      </c>
      <c r="M580" s="78">
        <v>555.58799999999997</v>
      </c>
      <c r="N580" s="79">
        <v>21.436800000000002</v>
      </c>
      <c r="O580" s="79">
        <v>66.217849999999999</v>
      </c>
      <c r="P580" s="79">
        <v>7740.6500100000003</v>
      </c>
      <c r="Q580" s="77"/>
      <c r="R580" s="77"/>
      <c r="S580" s="77"/>
      <c r="T580" s="77"/>
      <c r="U580" s="77"/>
      <c r="V580" s="87"/>
      <c r="W580" s="87"/>
      <c r="X580" s="87"/>
      <c r="Y580" s="77"/>
      <c r="Z580" s="88"/>
      <c r="AA580" s="35"/>
      <c r="AB580" s="35"/>
    </row>
    <row r="581" spans="1:28" x14ac:dyDescent="0.25">
      <c r="A581" s="68" t="str">
        <f t="shared" si="27"/>
        <v>531534</v>
      </c>
      <c r="B581" s="10">
        <f t="shared" si="28"/>
        <v>290.42099999999999</v>
      </c>
      <c r="C581" s="77" t="s">
        <v>5216</v>
      </c>
      <c r="D581" s="191" t="str">
        <f t="shared" si="29"/>
        <v>StrongLumio profil LED Diagonal 10 alu anodovaný 2000mm</v>
      </c>
      <c r="E581" s="77" t="s">
        <v>2584</v>
      </c>
      <c r="F581" s="77" t="s">
        <v>2584</v>
      </c>
      <c r="G581" s="77" t="s">
        <v>2586</v>
      </c>
      <c r="H581" s="77" t="s">
        <v>2585</v>
      </c>
      <c r="I581" s="77" t="s">
        <v>795</v>
      </c>
      <c r="J581" s="90">
        <v>40</v>
      </c>
      <c r="K581" s="91">
        <v>1</v>
      </c>
      <c r="L581" s="77" t="s">
        <v>6565</v>
      </c>
      <c r="M581" s="78">
        <v>290.42099999999999</v>
      </c>
      <c r="N581" s="79">
        <v>11.2056</v>
      </c>
      <c r="O581" s="79">
        <v>34.613880000000002</v>
      </c>
      <c r="P581" s="79">
        <v>4059.27</v>
      </c>
      <c r="Q581" s="77"/>
      <c r="R581" s="77"/>
      <c r="S581" s="77"/>
      <c r="T581" s="77"/>
      <c r="U581" s="77"/>
      <c r="V581" s="87"/>
      <c r="W581" s="87"/>
      <c r="X581" s="87"/>
      <c r="Y581" s="77"/>
      <c r="Z581" s="88"/>
      <c r="AA581" s="35"/>
      <c r="AB581" s="35"/>
    </row>
    <row r="582" spans="1:28" x14ac:dyDescent="0.25">
      <c r="A582" s="68" t="str">
        <f t="shared" si="27"/>
        <v>531538</v>
      </c>
      <c r="B582" s="10">
        <f t="shared" si="28"/>
        <v>576.63300000000004</v>
      </c>
      <c r="C582" s="77" t="s">
        <v>5217</v>
      </c>
      <c r="D582" s="191" t="str">
        <f t="shared" si="29"/>
        <v>StrongLumio profil LED Diagonal 10 alu anodovaný 4050mm</v>
      </c>
      <c r="E582" s="77" t="s">
        <v>2587</v>
      </c>
      <c r="F582" s="77" t="s">
        <v>2587</v>
      </c>
      <c r="G582" s="77" t="s">
        <v>2589</v>
      </c>
      <c r="H582" s="77" t="s">
        <v>2588</v>
      </c>
      <c r="I582" s="77" t="s">
        <v>795</v>
      </c>
      <c r="J582" s="90">
        <v>40</v>
      </c>
      <c r="K582" s="91">
        <v>1</v>
      </c>
      <c r="L582" s="77" t="s">
        <v>6565</v>
      </c>
      <c r="M582" s="78">
        <v>576.63300000000004</v>
      </c>
      <c r="N582" s="79">
        <v>22.248799999999999</v>
      </c>
      <c r="O582" s="79">
        <v>68.726089999999999</v>
      </c>
      <c r="P582" s="79">
        <v>8033.2100099999998</v>
      </c>
      <c r="Q582" s="77"/>
      <c r="R582" s="77"/>
      <c r="S582" s="77"/>
      <c r="T582" s="77"/>
      <c r="U582" s="77"/>
      <c r="V582" s="87"/>
      <c r="W582" s="87"/>
      <c r="X582" s="87"/>
      <c r="Y582" s="77"/>
      <c r="Z582" s="88"/>
      <c r="AA582" s="35"/>
      <c r="AB582" s="35"/>
    </row>
    <row r="583" spans="1:28" x14ac:dyDescent="0.25">
      <c r="A583" s="68" t="str">
        <f t="shared" si="27"/>
        <v>531537</v>
      </c>
      <c r="B583" s="10">
        <f t="shared" si="28"/>
        <v>446.99579999999997</v>
      </c>
      <c r="C583" s="77" t="s">
        <v>5218</v>
      </c>
      <c r="D583" s="191" t="str">
        <f t="shared" si="29"/>
        <v>StrongLumio profil LED Diagonal 10 alu bílý 2000mm</v>
      </c>
      <c r="E583" s="77" t="s">
        <v>2590</v>
      </c>
      <c r="F583" s="77" t="s">
        <v>2591</v>
      </c>
      <c r="G583" s="77" t="s">
        <v>2593</v>
      </c>
      <c r="H583" s="77" t="s">
        <v>2592</v>
      </c>
      <c r="I583" s="77" t="s">
        <v>795</v>
      </c>
      <c r="J583" s="90">
        <v>40</v>
      </c>
      <c r="K583" s="91">
        <v>1</v>
      </c>
      <c r="L583" s="77" t="s">
        <v>6565</v>
      </c>
      <c r="M583" s="78">
        <v>446.99579999999997</v>
      </c>
      <c r="N583" s="79">
        <v>17.246880000000001</v>
      </c>
      <c r="O583" s="79">
        <v>53.275280000000002</v>
      </c>
      <c r="P583" s="79">
        <v>6241.2800100000004</v>
      </c>
      <c r="Q583" s="77"/>
      <c r="R583" s="77"/>
      <c r="S583" s="77"/>
      <c r="T583" s="77"/>
      <c r="U583" s="77"/>
      <c r="V583" s="87"/>
      <c r="W583" s="87"/>
      <c r="X583" s="87"/>
      <c r="Y583" s="77"/>
      <c r="Z583" s="88"/>
      <c r="AA583" s="35"/>
      <c r="AB583" s="35"/>
    </row>
    <row r="584" spans="1:28" x14ac:dyDescent="0.25">
      <c r="A584" s="68" t="str">
        <f t="shared" si="27"/>
        <v>531541</v>
      </c>
      <c r="B584" s="10">
        <f t="shared" si="28"/>
        <v>882.20640000000003</v>
      </c>
      <c r="C584" s="77" t="s">
        <v>5219</v>
      </c>
      <c r="D584" s="191" t="str">
        <f t="shared" si="29"/>
        <v>StrongLumio profil LED Diagonal 10 alu bílý 4050mm</v>
      </c>
      <c r="E584" s="77" t="s">
        <v>2594</v>
      </c>
      <c r="F584" s="77" t="s">
        <v>2595</v>
      </c>
      <c r="G584" s="77" t="s">
        <v>2597</v>
      </c>
      <c r="H584" s="77" t="s">
        <v>2596</v>
      </c>
      <c r="I584" s="77" t="s">
        <v>795</v>
      </c>
      <c r="J584" s="90">
        <v>10</v>
      </c>
      <c r="K584" s="91">
        <v>1</v>
      </c>
      <c r="L584" s="77" t="s">
        <v>6565</v>
      </c>
      <c r="M584" s="78">
        <v>882.20640000000003</v>
      </c>
      <c r="N584" s="79">
        <v>34.03904</v>
      </c>
      <c r="O584" s="79">
        <v>105.14591</v>
      </c>
      <c r="P584" s="79">
        <v>12287.52</v>
      </c>
      <c r="Q584" s="77"/>
      <c r="R584" s="77"/>
      <c r="S584" s="77"/>
      <c r="T584" s="77"/>
      <c r="U584" s="77"/>
      <c r="V584" s="87"/>
      <c r="W584" s="87"/>
      <c r="X584" s="87"/>
      <c r="Y584" s="77"/>
      <c r="Z584" s="88"/>
      <c r="AA584" s="35"/>
      <c r="AB584" s="35"/>
    </row>
    <row r="585" spans="1:28" x14ac:dyDescent="0.25">
      <c r="A585" s="68" t="str">
        <f t="shared" si="27"/>
        <v>531535</v>
      </c>
      <c r="B585" s="10">
        <f t="shared" si="28"/>
        <v>383.01900000000001</v>
      </c>
      <c r="C585" s="77" t="s">
        <v>5220</v>
      </c>
      <c r="D585" s="191" t="str">
        <f t="shared" si="29"/>
        <v>StrongLumio profil LED Diagonal 10 alu černý 2000mm</v>
      </c>
      <c r="E585" s="77" t="s">
        <v>2598</v>
      </c>
      <c r="F585" s="77" t="s">
        <v>2599</v>
      </c>
      <c r="G585" s="77" t="s">
        <v>2601</v>
      </c>
      <c r="H585" s="77" t="s">
        <v>2600</v>
      </c>
      <c r="I585" s="77" t="s">
        <v>795</v>
      </c>
      <c r="J585" s="90">
        <v>40</v>
      </c>
      <c r="K585" s="91">
        <v>1</v>
      </c>
      <c r="L585" s="77" t="s">
        <v>6565</v>
      </c>
      <c r="M585" s="78">
        <v>383.01900000000001</v>
      </c>
      <c r="N585" s="79">
        <v>14.7784</v>
      </c>
      <c r="O585" s="79">
        <v>45.650179999999999</v>
      </c>
      <c r="P585" s="79">
        <v>5339.22</v>
      </c>
      <c r="Q585" s="77"/>
      <c r="R585" s="77"/>
      <c r="S585" s="77"/>
      <c r="T585" s="77"/>
      <c r="U585" s="77"/>
      <c r="V585" s="87"/>
      <c r="W585" s="87"/>
      <c r="X585" s="87"/>
      <c r="Y585" s="77"/>
      <c r="Z585" s="88"/>
      <c r="AA585" s="35"/>
      <c r="AB585" s="35"/>
    </row>
    <row r="586" spans="1:28" x14ac:dyDescent="0.25">
      <c r="A586" s="68" t="str">
        <f t="shared" si="27"/>
        <v>531539</v>
      </c>
      <c r="B586" s="10">
        <f t="shared" si="28"/>
        <v>814.02059999999994</v>
      </c>
      <c r="C586" s="77" t="s">
        <v>5221</v>
      </c>
      <c r="D586" s="191" t="str">
        <f t="shared" si="29"/>
        <v>StrongLumio profil LED Diagonal 10 alu černý 4050mm</v>
      </c>
      <c r="E586" s="77" t="s">
        <v>2602</v>
      </c>
      <c r="F586" s="77" t="s">
        <v>2603</v>
      </c>
      <c r="G586" s="77" t="s">
        <v>2605</v>
      </c>
      <c r="H586" s="77" t="s">
        <v>2604</v>
      </c>
      <c r="I586" s="77" t="s">
        <v>795</v>
      </c>
      <c r="J586" s="90">
        <v>10</v>
      </c>
      <c r="K586" s="91">
        <v>1</v>
      </c>
      <c r="L586" s="77" t="s">
        <v>6565</v>
      </c>
      <c r="M586" s="78">
        <v>814.02059999999994</v>
      </c>
      <c r="N586" s="79">
        <v>31.408159999999999</v>
      </c>
      <c r="O586" s="79">
        <v>97.019180000000006</v>
      </c>
      <c r="P586" s="79">
        <v>11348.88999</v>
      </c>
      <c r="Q586" s="77"/>
      <c r="R586" s="77"/>
      <c r="S586" s="77"/>
      <c r="T586" s="77"/>
      <c r="U586" s="77"/>
      <c r="V586" s="87"/>
      <c r="W586" s="87"/>
      <c r="X586" s="87"/>
      <c r="Y586" s="77"/>
      <c r="Z586" s="88"/>
      <c r="AA586" s="35"/>
      <c r="AB586" s="35"/>
    </row>
    <row r="587" spans="1:28" x14ac:dyDescent="0.25">
      <c r="A587" s="68" t="str">
        <f t="shared" si="27"/>
        <v>461836</v>
      </c>
      <c r="B587" s="10">
        <f t="shared" si="28"/>
        <v>743.30939999999998</v>
      </c>
      <c r="C587" s="77" t="s">
        <v>5222</v>
      </c>
      <c r="D587" s="191" t="str">
        <f t="shared" si="29"/>
        <v>StrongLumio profil LED Diagonal 14 2000mm bílá lak</v>
      </c>
      <c r="E587" s="77" t="s">
        <v>2606</v>
      </c>
      <c r="F587" s="77" t="s">
        <v>2607</v>
      </c>
      <c r="G587" s="77" t="s">
        <v>2609</v>
      </c>
      <c r="H587" s="77" t="s">
        <v>2608</v>
      </c>
      <c r="I587" s="77" t="s">
        <v>795</v>
      </c>
      <c r="J587" s="90">
        <v>30</v>
      </c>
      <c r="K587" s="91">
        <v>1</v>
      </c>
      <c r="L587" s="77" t="s">
        <v>227</v>
      </c>
      <c r="M587" s="78">
        <v>743.30939999999998</v>
      </c>
      <c r="N587" s="79">
        <v>28.679839999999999</v>
      </c>
      <c r="O587" s="79">
        <v>88.591459999999998</v>
      </c>
      <c r="P587" s="79">
        <v>9983.61</v>
      </c>
      <c r="Q587" s="77"/>
      <c r="R587" s="77"/>
      <c r="S587" s="77"/>
      <c r="T587" s="77"/>
      <c r="U587" s="77"/>
      <c r="V587" s="87"/>
      <c r="W587" s="87"/>
      <c r="X587" s="87"/>
      <c r="Y587" s="77"/>
      <c r="Z587" s="88"/>
      <c r="AA587" s="35"/>
      <c r="AB587" s="35"/>
    </row>
    <row r="588" spans="1:28" x14ac:dyDescent="0.25">
      <c r="A588" s="68" t="str">
        <f t="shared" si="27"/>
        <v>461812</v>
      </c>
      <c r="B588" s="10">
        <f t="shared" si="28"/>
        <v>584.20920000000001</v>
      </c>
      <c r="C588" s="77" t="s">
        <v>5223</v>
      </c>
      <c r="D588" s="191" t="str">
        <f t="shared" si="29"/>
        <v>StrongLumio profil LED Diagonal 14 2000mm černá elox</v>
      </c>
      <c r="E588" s="77" t="s">
        <v>2610</v>
      </c>
      <c r="F588" s="77" t="s">
        <v>2611</v>
      </c>
      <c r="G588" s="77" t="s">
        <v>2613</v>
      </c>
      <c r="H588" s="77" t="s">
        <v>2612</v>
      </c>
      <c r="I588" s="77" t="s">
        <v>795</v>
      </c>
      <c r="J588" s="90">
        <v>30</v>
      </c>
      <c r="K588" s="91">
        <v>1</v>
      </c>
      <c r="L588" s="77" t="s">
        <v>227</v>
      </c>
      <c r="M588" s="78">
        <v>584.20920000000001</v>
      </c>
      <c r="N588" s="79">
        <v>22.541119999999999</v>
      </c>
      <c r="O588" s="79">
        <v>69.629069999999999</v>
      </c>
      <c r="P588" s="79">
        <v>7838.1699900000003</v>
      </c>
      <c r="Q588" s="77"/>
      <c r="R588" s="77"/>
      <c r="S588" s="77"/>
      <c r="T588" s="77"/>
      <c r="U588" s="77"/>
      <c r="V588" s="87"/>
      <c r="W588" s="87"/>
      <c r="X588" s="87"/>
      <c r="Y588" s="77"/>
      <c r="Z588" s="88"/>
      <c r="AA588" s="35"/>
      <c r="AB588" s="35"/>
    </row>
    <row r="589" spans="1:28" x14ac:dyDescent="0.25">
      <c r="A589" s="68" t="str">
        <f t="shared" si="27"/>
        <v>461786</v>
      </c>
      <c r="B589" s="10">
        <f t="shared" si="28"/>
        <v>414.16559999999998</v>
      </c>
      <c r="C589" s="77" t="s">
        <v>5224</v>
      </c>
      <c r="D589" s="191" t="str">
        <f t="shared" si="29"/>
        <v>StrongLumio profil LED Diagonal 14 2000mm stříbrná elox</v>
      </c>
      <c r="E589" s="77" t="s">
        <v>2614</v>
      </c>
      <c r="F589" s="77" t="s">
        <v>2615</v>
      </c>
      <c r="G589" s="77" t="s">
        <v>2617</v>
      </c>
      <c r="H589" s="77" t="s">
        <v>2616</v>
      </c>
      <c r="I589" s="77" t="s">
        <v>795</v>
      </c>
      <c r="J589" s="90">
        <v>40</v>
      </c>
      <c r="K589" s="91">
        <v>1</v>
      </c>
      <c r="L589" s="77" t="s">
        <v>227</v>
      </c>
      <c r="M589" s="78">
        <v>414.16559999999998</v>
      </c>
      <c r="N589" s="79">
        <v>15.98016</v>
      </c>
      <c r="O589" s="79">
        <v>49.362389999999998</v>
      </c>
      <c r="P589" s="79">
        <v>5558.64</v>
      </c>
      <c r="Q589" s="77"/>
      <c r="R589" s="77"/>
      <c r="S589" s="77"/>
      <c r="T589" s="77"/>
      <c r="U589" s="77"/>
      <c r="V589" s="87"/>
      <c r="W589" s="87"/>
      <c r="X589" s="87"/>
      <c r="Y589" s="77"/>
      <c r="Z589" s="88"/>
      <c r="AA589" s="35"/>
      <c r="AB589" s="35"/>
    </row>
    <row r="590" spans="1:28" x14ac:dyDescent="0.25">
      <c r="A590" s="68" t="str">
        <f t="shared" si="27"/>
        <v>461818</v>
      </c>
      <c r="B590" s="10">
        <f t="shared" si="28"/>
        <v>934.39800000000002</v>
      </c>
      <c r="C590" s="77" t="s">
        <v>5225</v>
      </c>
      <c r="D590" s="191" t="str">
        <f t="shared" si="29"/>
        <v>StrongLumio profil LED Diagonal 14 3000mm černá elox</v>
      </c>
      <c r="E590" s="77" t="s">
        <v>2618</v>
      </c>
      <c r="F590" s="77" t="s">
        <v>2619</v>
      </c>
      <c r="G590" s="77" t="s">
        <v>2621</v>
      </c>
      <c r="H590" s="77" t="s">
        <v>2620</v>
      </c>
      <c r="I590" s="77" t="s">
        <v>795</v>
      </c>
      <c r="J590" s="90">
        <v>10</v>
      </c>
      <c r="K590" s="91">
        <v>1</v>
      </c>
      <c r="L590" s="77" t="s">
        <v>227</v>
      </c>
      <c r="M590" s="78">
        <v>934.39800000000002</v>
      </c>
      <c r="N590" s="79">
        <v>36.052799999999998</v>
      </c>
      <c r="O590" s="79">
        <v>135.77612999999999</v>
      </c>
      <c r="P590" s="79">
        <v>12543.51</v>
      </c>
      <c r="Q590" s="77"/>
      <c r="R590" s="77"/>
      <c r="S590" s="77"/>
      <c r="T590" s="77"/>
      <c r="U590" s="77"/>
      <c r="V590" s="87"/>
      <c r="W590" s="87"/>
      <c r="X590" s="87"/>
      <c r="Y590" s="77"/>
      <c r="Z590" s="88"/>
      <c r="AA590" s="35"/>
      <c r="AB590" s="35"/>
    </row>
    <row r="591" spans="1:28" x14ac:dyDescent="0.25">
      <c r="A591" s="68" t="str">
        <f t="shared" si="27"/>
        <v>461787</v>
      </c>
      <c r="B591" s="10">
        <f t="shared" si="28"/>
        <v>646.50239999999997</v>
      </c>
      <c r="C591" s="77" t="s">
        <v>5226</v>
      </c>
      <c r="D591" s="191" t="str">
        <f t="shared" si="29"/>
        <v>StrongLumio profil LED Diagonal 14 3000mm stříbrná elox</v>
      </c>
      <c r="E591" s="77" t="s">
        <v>2622</v>
      </c>
      <c r="F591" s="77" t="s">
        <v>2623</v>
      </c>
      <c r="G591" s="77" t="s">
        <v>2625</v>
      </c>
      <c r="H591" s="77" t="s">
        <v>2624</v>
      </c>
      <c r="I591" s="77" t="s">
        <v>795</v>
      </c>
      <c r="J591" s="90">
        <v>40</v>
      </c>
      <c r="K591" s="91">
        <v>1</v>
      </c>
      <c r="L591" s="77" t="s">
        <v>227</v>
      </c>
      <c r="M591" s="78">
        <v>646.50239999999997</v>
      </c>
      <c r="N591" s="79">
        <v>24.94464</v>
      </c>
      <c r="O591" s="79">
        <v>77.053489999999996</v>
      </c>
      <c r="P591" s="79">
        <v>8679.2799900000009</v>
      </c>
      <c r="Q591" s="77"/>
      <c r="R591" s="77"/>
      <c r="S591" s="77"/>
      <c r="T591" s="77"/>
      <c r="U591" s="77"/>
      <c r="V591" s="87"/>
      <c r="W591" s="87"/>
      <c r="X591" s="87"/>
      <c r="Y591" s="77"/>
      <c r="Z591" s="88"/>
      <c r="AA591" s="35"/>
      <c r="AB591" s="35"/>
    </row>
    <row r="592" spans="1:28" x14ac:dyDescent="0.25">
      <c r="A592" s="68" t="str">
        <f t="shared" si="27"/>
        <v>461775</v>
      </c>
      <c r="B592" s="10">
        <f t="shared" si="28"/>
        <v>126.27</v>
      </c>
      <c r="C592" s="77" t="s">
        <v>5227</v>
      </c>
      <c r="D592" s="191" t="str">
        <f t="shared" si="29"/>
        <v>StrongLumio profil LED Diagonal 14 alu anodovaný 1000mm</v>
      </c>
      <c r="E592" s="77" t="s">
        <v>2626</v>
      </c>
      <c r="F592" s="77" t="s">
        <v>2627</v>
      </c>
      <c r="G592" s="77" t="s">
        <v>2629</v>
      </c>
      <c r="H592" s="77" t="s">
        <v>2628</v>
      </c>
      <c r="I592" s="77" t="s">
        <v>795</v>
      </c>
      <c r="J592" s="90">
        <v>40</v>
      </c>
      <c r="K592" s="91">
        <v>1</v>
      </c>
      <c r="L592" s="77" t="s">
        <v>6565</v>
      </c>
      <c r="M592" s="78">
        <v>126.27</v>
      </c>
      <c r="N592" s="79">
        <v>4.8719999999999999</v>
      </c>
      <c r="O592" s="79">
        <v>22.758769999999998</v>
      </c>
      <c r="P592" s="79">
        <v>2962.17</v>
      </c>
      <c r="Q592" s="77"/>
      <c r="R592" s="77"/>
      <c r="S592" s="77"/>
      <c r="T592" s="77"/>
      <c r="U592" s="77"/>
      <c r="V592" s="87"/>
      <c r="W592" s="87"/>
      <c r="X592" s="87"/>
      <c r="Y592" s="77"/>
      <c r="Z592" s="88"/>
      <c r="AA592" s="35"/>
      <c r="AB592" s="35"/>
    </row>
    <row r="593" spans="1:28" x14ac:dyDescent="0.25">
      <c r="A593" s="68" t="str">
        <f t="shared" si="27"/>
        <v>461789</v>
      </c>
      <c r="B593" s="10">
        <f t="shared" si="28"/>
        <v>830.85659999999996</v>
      </c>
      <c r="C593" s="77" t="s">
        <v>5228</v>
      </c>
      <c r="D593" s="191" t="str">
        <f t="shared" si="29"/>
        <v>StrongLumio profil LED Diagonal 14 alu anodovaný 4050mm</v>
      </c>
      <c r="E593" s="77" t="s">
        <v>2630</v>
      </c>
      <c r="F593" s="77" t="s">
        <v>2631</v>
      </c>
      <c r="G593" s="77" t="s">
        <v>2633</v>
      </c>
      <c r="H593" s="77" t="s">
        <v>2632</v>
      </c>
      <c r="I593" s="77" t="s">
        <v>795</v>
      </c>
      <c r="J593" s="90">
        <v>40</v>
      </c>
      <c r="K593" s="91">
        <v>1</v>
      </c>
      <c r="L593" s="77" t="s">
        <v>227</v>
      </c>
      <c r="M593" s="78">
        <v>830.85659999999996</v>
      </c>
      <c r="N593" s="79">
        <v>32.057760000000002</v>
      </c>
      <c r="O593" s="79">
        <v>99.025769999999994</v>
      </c>
      <c r="P593" s="79">
        <v>11153.85</v>
      </c>
      <c r="Q593" s="77"/>
      <c r="R593" s="77"/>
      <c r="S593" s="77"/>
      <c r="T593" s="77"/>
      <c r="U593" s="77"/>
      <c r="V593" s="87"/>
      <c r="W593" s="87"/>
      <c r="X593" s="87"/>
      <c r="Y593" s="77"/>
      <c r="Z593" s="88"/>
      <c r="AA593" s="35"/>
      <c r="AB593" s="35"/>
    </row>
    <row r="594" spans="1:28" x14ac:dyDescent="0.25">
      <c r="A594" s="68" t="str">
        <f t="shared" si="27"/>
        <v>461835</v>
      </c>
      <c r="B594" s="10">
        <f t="shared" si="28"/>
        <v>383.01900000000001</v>
      </c>
      <c r="C594" s="77" t="s">
        <v>5229</v>
      </c>
      <c r="D594" s="191" t="str">
        <f t="shared" si="29"/>
        <v>StrongLumio profil LED Diagonal 14 alu bílý 1000mm</v>
      </c>
      <c r="E594" s="77" t="s">
        <v>2634</v>
      </c>
      <c r="F594" s="77" t="s">
        <v>2635</v>
      </c>
      <c r="G594" s="77" t="s">
        <v>2634</v>
      </c>
      <c r="H594" s="77" t="s">
        <v>2636</v>
      </c>
      <c r="I594" s="77" t="s">
        <v>795</v>
      </c>
      <c r="J594" s="90">
        <v>30</v>
      </c>
      <c r="K594" s="91">
        <v>1</v>
      </c>
      <c r="L594" s="77" t="s">
        <v>6565</v>
      </c>
      <c r="M594" s="78">
        <v>383.01900000000001</v>
      </c>
      <c r="N594" s="79">
        <v>14.7784</v>
      </c>
      <c r="O594" s="79">
        <v>45.650179999999999</v>
      </c>
      <c r="P594" s="79">
        <v>5339.22</v>
      </c>
      <c r="Q594" s="77"/>
      <c r="R594" s="77"/>
      <c r="S594" s="77"/>
      <c r="T594" s="77"/>
      <c r="U594" s="77"/>
      <c r="V594" s="87"/>
      <c r="W594" s="87"/>
      <c r="X594" s="87"/>
      <c r="Y594" s="77"/>
      <c r="Z594" s="88"/>
      <c r="AA594" s="35"/>
      <c r="AB594" s="35"/>
    </row>
    <row r="595" spans="1:28" x14ac:dyDescent="0.25">
      <c r="A595" s="68" t="str">
        <f t="shared" si="27"/>
        <v>461843</v>
      </c>
      <c r="B595" s="10">
        <f t="shared" si="28"/>
        <v>1189.4634000000001</v>
      </c>
      <c r="C595" s="77" t="s">
        <v>5230</v>
      </c>
      <c r="D595" s="191" t="str">
        <f t="shared" si="29"/>
        <v>StrongLumio profil LED Diagonal 14 alu bílý 3000mm</v>
      </c>
      <c r="E595" s="77" t="s">
        <v>2637</v>
      </c>
      <c r="F595" s="77" t="s">
        <v>2638</v>
      </c>
      <c r="G595" s="77" t="s">
        <v>2640</v>
      </c>
      <c r="H595" s="77" t="s">
        <v>2639</v>
      </c>
      <c r="I595" s="77" t="s">
        <v>795</v>
      </c>
      <c r="J595" s="90">
        <v>10</v>
      </c>
      <c r="K595" s="91">
        <v>1</v>
      </c>
      <c r="L595" s="77" t="s">
        <v>227</v>
      </c>
      <c r="M595" s="78">
        <v>1189.4634000000001</v>
      </c>
      <c r="N595" s="79">
        <v>45.894240000000003</v>
      </c>
      <c r="O595" s="79">
        <v>149.93234000000001</v>
      </c>
      <c r="P595" s="79">
        <v>15968.900009999999</v>
      </c>
      <c r="Q595" s="77"/>
      <c r="R595" s="77"/>
      <c r="S595" s="77"/>
      <c r="T595" s="77"/>
      <c r="U595" s="77"/>
      <c r="V595" s="87"/>
      <c r="W595" s="87"/>
      <c r="X595" s="87"/>
      <c r="Y595" s="77"/>
      <c r="Z595" s="88"/>
      <c r="AA595" s="35"/>
      <c r="AB595" s="35"/>
    </row>
    <row r="596" spans="1:28" x14ac:dyDescent="0.25">
      <c r="A596" s="68" t="str">
        <f t="shared" si="27"/>
        <v>461844</v>
      </c>
      <c r="B596" s="10">
        <f t="shared" si="28"/>
        <v>1527.867</v>
      </c>
      <c r="C596" s="77" t="s">
        <v>5231</v>
      </c>
      <c r="D596" s="191" t="str">
        <f t="shared" si="29"/>
        <v>StrongLumio profil LED Diagonal 14 alu bílý 4050mm</v>
      </c>
      <c r="E596" s="77" t="s">
        <v>2641</v>
      </c>
      <c r="F596" s="77" t="s">
        <v>2642</v>
      </c>
      <c r="G596" s="77" t="s">
        <v>2641</v>
      </c>
      <c r="H596" s="77" t="s">
        <v>2643</v>
      </c>
      <c r="I596" s="77" t="s">
        <v>795</v>
      </c>
      <c r="J596" s="90">
        <v>10</v>
      </c>
      <c r="K596" s="91">
        <v>1</v>
      </c>
      <c r="L596" s="77" t="s">
        <v>6565</v>
      </c>
      <c r="M596" s="78">
        <v>1527.867</v>
      </c>
      <c r="N596" s="79">
        <v>58.9512</v>
      </c>
      <c r="O596" s="79">
        <v>182.09908999999999</v>
      </c>
      <c r="P596" s="79">
        <v>21295.929990000001</v>
      </c>
      <c r="Q596" s="77"/>
      <c r="R596" s="77"/>
      <c r="S596" s="77"/>
      <c r="T596" s="77"/>
      <c r="U596" s="77"/>
      <c r="V596" s="87"/>
      <c r="W596" s="87"/>
      <c r="X596" s="87"/>
      <c r="Y596" s="77"/>
      <c r="Z596" s="88"/>
      <c r="AA596" s="35"/>
      <c r="AB596" s="35"/>
    </row>
    <row r="597" spans="1:28" x14ac:dyDescent="0.25">
      <c r="A597" s="68" t="str">
        <f t="shared" si="27"/>
        <v>461811</v>
      </c>
      <c r="B597" s="10">
        <f t="shared" si="28"/>
        <v>303.88979999999998</v>
      </c>
      <c r="C597" s="77" t="s">
        <v>5232</v>
      </c>
      <c r="D597" s="191" t="str">
        <f t="shared" si="29"/>
        <v>StrongLumio profil LED Diagonal 14 alu černý 1000mm</v>
      </c>
      <c r="E597" s="77" t="s">
        <v>2644</v>
      </c>
      <c r="F597" s="77" t="s">
        <v>2645</v>
      </c>
      <c r="G597" s="77" t="s">
        <v>2644</v>
      </c>
      <c r="H597" s="77" t="s">
        <v>2646</v>
      </c>
      <c r="I597" s="77" t="s">
        <v>795</v>
      </c>
      <c r="J597" s="90">
        <v>30</v>
      </c>
      <c r="K597" s="91">
        <v>1</v>
      </c>
      <c r="L597" s="77" t="s">
        <v>6565</v>
      </c>
      <c r="M597" s="78">
        <v>303.88979999999998</v>
      </c>
      <c r="N597" s="79">
        <v>11.72528</v>
      </c>
      <c r="O597" s="79">
        <v>36.219160000000002</v>
      </c>
      <c r="P597" s="79">
        <v>4229.93001</v>
      </c>
      <c r="Q597" s="77"/>
      <c r="R597" s="77"/>
      <c r="S597" s="77"/>
      <c r="T597" s="77"/>
      <c r="U597" s="77"/>
      <c r="V597" s="87"/>
      <c r="W597" s="87"/>
      <c r="X597" s="87"/>
      <c r="Y597" s="77"/>
      <c r="Z597" s="88"/>
      <c r="AA597" s="35"/>
      <c r="AB597" s="35"/>
    </row>
    <row r="598" spans="1:28" x14ac:dyDescent="0.25">
      <c r="A598" s="68" t="str">
        <f t="shared" si="27"/>
        <v>461824</v>
      </c>
      <c r="B598" s="10">
        <f t="shared" si="28"/>
        <v>1202.0904</v>
      </c>
      <c r="C598" s="77" t="s">
        <v>5233</v>
      </c>
      <c r="D598" s="191" t="str">
        <f t="shared" si="29"/>
        <v>StrongLumio profil LED Diagonal 14 alu černý 4050mm</v>
      </c>
      <c r="E598" s="77" t="s">
        <v>2647</v>
      </c>
      <c r="F598" s="77" t="s">
        <v>2648</v>
      </c>
      <c r="G598" s="77" t="s">
        <v>2647</v>
      </c>
      <c r="H598" s="77" t="s">
        <v>2649</v>
      </c>
      <c r="I598" s="77" t="s">
        <v>795</v>
      </c>
      <c r="J598" s="90">
        <v>10</v>
      </c>
      <c r="K598" s="91">
        <v>1</v>
      </c>
      <c r="L598" s="77" t="s">
        <v>227</v>
      </c>
      <c r="M598" s="78">
        <v>1202.0904</v>
      </c>
      <c r="N598" s="79">
        <v>46.381439999999998</v>
      </c>
      <c r="O598" s="79">
        <v>143.27135000000001</v>
      </c>
      <c r="P598" s="79">
        <v>16139.55999</v>
      </c>
      <c r="Q598" s="77"/>
      <c r="R598" s="77"/>
      <c r="S598" s="77"/>
      <c r="T598" s="77"/>
      <c r="U598" s="77"/>
      <c r="V598" s="87"/>
      <c r="W598" s="87"/>
      <c r="X598" s="87"/>
      <c r="Y598" s="77"/>
      <c r="Z598" s="88"/>
      <c r="AA598" s="35"/>
      <c r="AB598" s="35"/>
    </row>
    <row r="599" spans="1:28" x14ac:dyDescent="0.25">
      <c r="A599" s="68" t="str">
        <f t="shared" si="27"/>
        <v>342530</v>
      </c>
      <c r="B599" s="10">
        <f t="shared" si="28"/>
        <v>226.84</v>
      </c>
      <c r="C599" s="77" t="s">
        <v>5234</v>
      </c>
      <c r="D599" s="191" t="str">
        <f t="shared" si="29"/>
        <v>StrongLumio profil led Fanto, 2000mm stříbrná elox</v>
      </c>
      <c r="E599" s="77" t="s">
        <v>2650</v>
      </c>
      <c r="F599" s="77" t="s">
        <v>2651</v>
      </c>
      <c r="G599" s="77" t="s">
        <v>2653</v>
      </c>
      <c r="H599" s="77" t="s">
        <v>2652</v>
      </c>
      <c r="I599" s="77" t="s">
        <v>795</v>
      </c>
      <c r="J599" s="90">
        <v>1</v>
      </c>
      <c r="K599" s="91">
        <v>1</v>
      </c>
      <c r="L599" s="77" t="s">
        <v>227</v>
      </c>
      <c r="M599" s="78">
        <v>226.84</v>
      </c>
      <c r="N599" s="79">
        <v>9.0469100000000005</v>
      </c>
      <c r="O599" s="79">
        <v>24.916080000000001</v>
      </c>
      <c r="P599" s="79">
        <v>3129.7500199999999</v>
      </c>
      <c r="Q599" s="77"/>
      <c r="R599" s="77"/>
      <c r="S599" s="77"/>
      <c r="T599" s="77"/>
      <c r="U599" s="77"/>
      <c r="V599" s="87"/>
      <c r="W599" s="87"/>
      <c r="X599" s="87"/>
      <c r="Y599" s="77"/>
      <c r="Z599" s="88"/>
      <c r="AA599" s="35"/>
      <c r="AB599" s="35"/>
    </row>
    <row r="600" spans="1:28" x14ac:dyDescent="0.25">
      <c r="A600" s="68" t="str">
        <f t="shared" si="27"/>
        <v>215047</v>
      </c>
      <c r="B600" s="10">
        <f t="shared" si="28"/>
        <v>116.32725000000001</v>
      </c>
      <c r="C600" s="77" t="s">
        <v>5235</v>
      </c>
      <c r="D600" s="191" t="str">
        <f t="shared" si="29"/>
        <v>StrongLumio profil LED Flat 8, 1000mm stříbrná elox</v>
      </c>
      <c r="E600" s="77" t="s">
        <v>2654</v>
      </c>
      <c r="F600" s="77" t="s">
        <v>2655</v>
      </c>
      <c r="G600" s="77" t="s">
        <v>2657</v>
      </c>
      <c r="H600" s="77" t="s">
        <v>2656</v>
      </c>
      <c r="I600" s="77" t="s">
        <v>795</v>
      </c>
      <c r="J600" s="90">
        <v>20</v>
      </c>
      <c r="K600" s="91">
        <v>1</v>
      </c>
      <c r="L600" s="77" t="s">
        <v>227</v>
      </c>
      <c r="M600" s="78">
        <v>116.32725000000001</v>
      </c>
      <c r="N600" s="79">
        <v>5.3726399999999996</v>
      </c>
      <c r="O600" s="79">
        <v>24.579789999999999</v>
      </c>
      <c r="P600" s="79">
        <v>1852.34474</v>
      </c>
      <c r="Q600" s="77"/>
      <c r="R600" s="77"/>
      <c r="S600" s="77"/>
      <c r="T600" s="77"/>
      <c r="U600" s="77"/>
      <c r="V600" s="87"/>
      <c r="W600" s="87"/>
      <c r="X600" s="87"/>
      <c r="Y600" s="77"/>
      <c r="Z600" s="88"/>
      <c r="AA600" s="35"/>
      <c r="AB600" s="35"/>
    </row>
    <row r="601" spans="1:28" x14ac:dyDescent="0.25">
      <c r="A601" s="68" t="str">
        <f t="shared" si="27"/>
        <v>215048</v>
      </c>
      <c r="B601" s="10">
        <f t="shared" si="28"/>
        <v>662.31359999999995</v>
      </c>
      <c r="C601" s="77" t="s">
        <v>5236</v>
      </c>
      <c r="D601" s="191" t="str">
        <f t="shared" si="29"/>
        <v>StrongLumio profil LED Flat 8, 2000mm stříbrná elox</v>
      </c>
      <c r="E601" s="77" t="s">
        <v>2658</v>
      </c>
      <c r="F601" s="77" t="s">
        <v>2659</v>
      </c>
      <c r="G601" s="77" t="s">
        <v>2661</v>
      </c>
      <c r="H601" s="77" t="s">
        <v>2660</v>
      </c>
      <c r="I601" s="77" t="s">
        <v>795</v>
      </c>
      <c r="J601" s="90">
        <v>20</v>
      </c>
      <c r="K601" s="91">
        <v>1</v>
      </c>
      <c r="L601" s="77" t="s">
        <v>6565</v>
      </c>
      <c r="M601" s="78">
        <v>662.31359999999995</v>
      </c>
      <c r="N601" s="79">
        <v>25.431840000000001</v>
      </c>
      <c r="O601" s="79">
        <v>78.558440000000004</v>
      </c>
      <c r="P601" s="79">
        <v>9112.8299000000006</v>
      </c>
      <c r="Q601" s="77"/>
      <c r="R601" s="77"/>
      <c r="S601" s="77"/>
      <c r="T601" s="77"/>
      <c r="U601" s="77"/>
      <c r="V601" s="87"/>
      <c r="W601" s="87"/>
      <c r="X601" s="87"/>
      <c r="Y601" s="77"/>
      <c r="Z601" s="88"/>
      <c r="AA601" s="35"/>
      <c r="AB601" s="35"/>
    </row>
    <row r="602" spans="1:28" x14ac:dyDescent="0.25">
      <c r="A602" s="68" t="str">
        <f t="shared" si="27"/>
        <v>367362</v>
      </c>
      <c r="B602" s="10">
        <f t="shared" si="28"/>
        <v>702.06119999999999</v>
      </c>
      <c r="C602" s="77" t="s">
        <v>5237</v>
      </c>
      <c r="D602" s="191" t="str">
        <f t="shared" si="29"/>
        <v>StrongLumio profil LED Floor 12 alu anodovaný 3000mm</v>
      </c>
      <c r="E602" s="77" t="s">
        <v>2662</v>
      </c>
      <c r="F602" s="77" t="s">
        <v>2663</v>
      </c>
      <c r="G602" s="77" t="s">
        <v>2665</v>
      </c>
      <c r="H602" s="77" t="s">
        <v>2664</v>
      </c>
      <c r="I602" s="77" t="s">
        <v>795</v>
      </c>
      <c r="J602" s="90">
        <v>40</v>
      </c>
      <c r="K602" s="91">
        <v>1</v>
      </c>
      <c r="L602" s="77" t="s">
        <v>6565</v>
      </c>
      <c r="M602" s="78">
        <v>702.06119999999999</v>
      </c>
      <c r="N602" s="79">
        <v>27.08832</v>
      </c>
      <c r="O602" s="79">
        <v>84.698329999999999</v>
      </c>
      <c r="P602" s="79">
        <v>9788.5700099999995</v>
      </c>
      <c r="Q602" s="77"/>
      <c r="R602" s="77"/>
      <c r="S602" s="77"/>
      <c r="T602" s="77"/>
      <c r="U602" s="77"/>
      <c r="V602" s="87"/>
      <c r="W602" s="87"/>
      <c r="X602" s="87"/>
      <c r="Y602" s="77"/>
      <c r="Z602" s="88"/>
      <c r="AA602" s="35"/>
      <c r="AB602" s="35"/>
    </row>
    <row r="603" spans="1:28" x14ac:dyDescent="0.25">
      <c r="A603" s="68" t="str">
        <f t="shared" si="27"/>
        <v>535186</v>
      </c>
      <c r="B603" s="10">
        <f t="shared" si="28"/>
        <v>941.64480000000003</v>
      </c>
      <c r="C603" s="77" t="s">
        <v>5238</v>
      </c>
      <c r="D603" s="191" t="str">
        <f t="shared" si="29"/>
        <v>StrongLumio profil LED Floor 12 alu anodovaný 4050mm</v>
      </c>
      <c r="E603" s="77" t="s">
        <v>2666</v>
      </c>
      <c r="F603" s="77" t="s">
        <v>2667</v>
      </c>
      <c r="G603" s="77" t="s">
        <v>2669</v>
      </c>
      <c r="H603" s="77" t="s">
        <v>2668</v>
      </c>
      <c r="I603" s="77" t="s">
        <v>795</v>
      </c>
      <c r="J603" s="90">
        <v>40</v>
      </c>
      <c r="K603" s="91">
        <v>1</v>
      </c>
      <c r="L603" s="77" t="s">
        <v>6565</v>
      </c>
      <c r="M603" s="78">
        <v>941.64480000000003</v>
      </c>
      <c r="N603" s="79">
        <v>36.182720000000003</v>
      </c>
      <c r="O603" s="79">
        <v>111.76769</v>
      </c>
      <c r="P603" s="79">
        <v>12956.17195</v>
      </c>
      <c r="Q603" s="77"/>
      <c r="R603" s="77"/>
      <c r="S603" s="77"/>
      <c r="T603" s="77"/>
      <c r="U603" s="77"/>
      <c r="V603" s="87"/>
      <c r="W603" s="87"/>
      <c r="X603" s="87"/>
      <c r="Y603" s="77"/>
      <c r="Z603" s="88"/>
      <c r="AA603" s="35"/>
      <c r="AB603" s="35"/>
    </row>
    <row r="604" spans="1:28" x14ac:dyDescent="0.25">
      <c r="A604" s="68" t="str">
        <f t="shared" si="27"/>
        <v>285070</v>
      </c>
      <c r="B604" s="10">
        <f t="shared" si="28"/>
        <v>438.57780000000002</v>
      </c>
      <c r="C604" s="77" t="s">
        <v>5239</v>
      </c>
      <c r="D604" s="191" t="str">
        <f t="shared" si="29"/>
        <v>StrongLumio profil LED Floor 12, 2000mm stříbrná elox</v>
      </c>
      <c r="E604" s="77" t="s">
        <v>2670</v>
      </c>
      <c r="F604" s="77" t="s">
        <v>2671</v>
      </c>
      <c r="G604" s="77" t="s">
        <v>2673</v>
      </c>
      <c r="H604" s="77" t="s">
        <v>2672</v>
      </c>
      <c r="I604" s="77" t="s">
        <v>795</v>
      </c>
      <c r="J604" s="90">
        <v>40</v>
      </c>
      <c r="K604" s="91">
        <v>1</v>
      </c>
      <c r="L604" s="77" t="s">
        <v>227</v>
      </c>
      <c r="M604" s="78">
        <v>438.57780000000002</v>
      </c>
      <c r="N604" s="79">
        <v>16.922080000000001</v>
      </c>
      <c r="O604" s="79">
        <v>52.27196</v>
      </c>
      <c r="P604" s="79">
        <v>5887.77</v>
      </c>
      <c r="Q604" s="77"/>
      <c r="R604" s="77"/>
      <c r="S604" s="77"/>
      <c r="T604" s="77"/>
      <c r="U604" s="77"/>
      <c r="V604" s="87"/>
      <c r="W604" s="87"/>
      <c r="X604" s="87"/>
      <c r="Y604" s="77"/>
      <c r="Z604" s="88"/>
      <c r="AA604" s="35"/>
      <c r="AB604" s="35"/>
    </row>
    <row r="605" spans="1:28" x14ac:dyDescent="0.25">
      <c r="A605" s="68" t="str">
        <f t="shared" si="27"/>
        <v>550330</v>
      </c>
      <c r="B605" s="10">
        <f t="shared" si="28"/>
        <v>489.2688</v>
      </c>
      <c r="C605" s="77" t="s">
        <v>5240</v>
      </c>
      <c r="D605" s="191" t="str">
        <f t="shared" si="29"/>
        <v>StrongLumio profil LED Floor 8 alu anodovaný 3000mm</v>
      </c>
      <c r="E605" s="77" t="s">
        <v>2674</v>
      </c>
      <c r="F605" s="77" t="s">
        <v>2674</v>
      </c>
      <c r="G605" s="77" t="s">
        <v>2676</v>
      </c>
      <c r="H605" s="77" t="s">
        <v>2675</v>
      </c>
      <c r="I605" s="77" t="s">
        <v>795</v>
      </c>
      <c r="J605" s="90">
        <v>40</v>
      </c>
      <c r="K605" s="91">
        <v>1</v>
      </c>
      <c r="L605" s="77" t="s">
        <v>6565</v>
      </c>
      <c r="M605" s="78">
        <v>489.2688</v>
      </c>
      <c r="N605" s="79">
        <v>18.80592</v>
      </c>
      <c r="O605" s="79">
        <v>58.091099999999997</v>
      </c>
      <c r="P605" s="79">
        <v>6731.8915900000002</v>
      </c>
      <c r="Q605" s="77"/>
      <c r="R605" s="77"/>
      <c r="S605" s="77"/>
      <c r="T605" s="77"/>
      <c r="U605" s="77"/>
      <c r="V605" s="87"/>
      <c r="W605" s="87"/>
      <c r="X605" s="87"/>
      <c r="Y605" s="77"/>
      <c r="Z605" s="88"/>
      <c r="AA605" s="35"/>
      <c r="AB605" s="35"/>
    </row>
    <row r="606" spans="1:28" x14ac:dyDescent="0.25">
      <c r="A606" s="68" t="str">
        <f t="shared" ref="A606:A669" si="30">C606</f>
        <v>532734</v>
      </c>
      <c r="B606" s="10">
        <f t="shared" si="28"/>
        <v>301.2912</v>
      </c>
      <c r="C606" s="77" t="s">
        <v>5241</v>
      </c>
      <c r="D606" s="191" t="str">
        <f t="shared" si="29"/>
        <v>StrongLumio profil LED Groove 10 gen.2 alu bílý 2000mm</v>
      </c>
      <c r="E606" s="77" t="s">
        <v>2677</v>
      </c>
      <c r="F606" s="77" t="s">
        <v>2678</v>
      </c>
      <c r="G606" s="77" t="s">
        <v>2680</v>
      </c>
      <c r="H606" s="77" t="s">
        <v>2679</v>
      </c>
      <c r="I606" s="77" t="s">
        <v>795</v>
      </c>
      <c r="J606" s="90">
        <v>40</v>
      </c>
      <c r="K606" s="91">
        <v>1</v>
      </c>
      <c r="L606" s="77" t="s">
        <v>6565</v>
      </c>
      <c r="M606" s="78">
        <v>301.2912</v>
      </c>
      <c r="N606" s="79">
        <v>11.56288</v>
      </c>
      <c r="O606" s="79">
        <v>35.717509999999997</v>
      </c>
      <c r="P606" s="79">
        <v>4145.4916000000003</v>
      </c>
      <c r="Q606" s="77"/>
      <c r="R606" s="77"/>
      <c r="S606" s="77"/>
      <c r="T606" s="77"/>
      <c r="U606" s="77"/>
      <c r="V606" s="87"/>
      <c r="W606" s="87"/>
      <c r="X606" s="87"/>
      <c r="Y606" s="77"/>
      <c r="Z606" s="88"/>
      <c r="AA606" s="35"/>
      <c r="AB606" s="35"/>
    </row>
    <row r="607" spans="1:28" x14ac:dyDescent="0.25">
      <c r="A607" s="68" t="str">
        <f t="shared" si="30"/>
        <v>532729</v>
      </c>
      <c r="B607" s="10">
        <f t="shared" si="28"/>
        <v>194.12639999999999</v>
      </c>
      <c r="C607" s="77" t="s">
        <v>5242</v>
      </c>
      <c r="D607" s="191" t="str">
        <f t="shared" si="29"/>
        <v>StrongLumio profil LED Groove 10 gen2 alu anodovaný 2000mm</v>
      </c>
      <c r="E607" s="77" t="s">
        <v>2681</v>
      </c>
      <c r="F607" s="77" t="s">
        <v>2681</v>
      </c>
      <c r="G607" s="77" t="s">
        <v>2683</v>
      </c>
      <c r="H607" s="77" t="s">
        <v>2682</v>
      </c>
      <c r="I607" s="77" t="s">
        <v>795</v>
      </c>
      <c r="J607" s="90">
        <v>40</v>
      </c>
      <c r="K607" s="91">
        <v>1</v>
      </c>
      <c r="L607" s="77" t="s">
        <v>6565</v>
      </c>
      <c r="M607" s="78">
        <v>194.12639999999999</v>
      </c>
      <c r="N607" s="79">
        <v>7.4703999999999997</v>
      </c>
      <c r="O607" s="79">
        <v>23.07591</v>
      </c>
      <c r="P607" s="79">
        <v>2671.00189</v>
      </c>
      <c r="Q607" s="77"/>
      <c r="R607" s="77"/>
      <c r="S607" s="77"/>
      <c r="T607" s="77"/>
      <c r="U607" s="77"/>
      <c r="V607" s="87"/>
      <c r="W607" s="87"/>
      <c r="X607" s="87"/>
      <c r="Y607" s="77"/>
      <c r="Z607" s="88"/>
      <c r="AA607" s="35"/>
      <c r="AB607" s="35"/>
    </row>
    <row r="608" spans="1:28" x14ac:dyDescent="0.25">
      <c r="A608" s="68" t="str">
        <f t="shared" si="30"/>
        <v>532739</v>
      </c>
      <c r="B608" s="10">
        <f t="shared" ref="B608:B671" si="31">IF($B$1=1,M608,IF($B$1=2,N608,IF($B$1=3,O608,IF($B$1=4,P608))))</f>
        <v>391.76639999999998</v>
      </c>
      <c r="C608" s="77" t="s">
        <v>5243</v>
      </c>
      <c r="D608" s="191" t="str">
        <f t="shared" si="29"/>
        <v>StrongLumio profil LED Groove 10 gen2 alu anodovaný 4050mm</v>
      </c>
      <c r="E608" s="77" t="s">
        <v>2684</v>
      </c>
      <c r="F608" s="77" t="s">
        <v>2684</v>
      </c>
      <c r="G608" s="77" t="s">
        <v>2686</v>
      </c>
      <c r="H608" s="77" t="s">
        <v>2685</v>
      </c>
      <c r="I608" s="77" t="s">
        <v>795</v>
      </c>
      <c r="J608" s="90">
        <v>40</v>
      </c>
      <c r="K608" s="91">
        <v>1</v>
      </c>
      <c r="L608" s="77" t="s">
        <v>6565</v>
      </c>
      <c r="M608" s="78">
        <v>391.76639999999998</v>
      </c>
      <c r="N608" s="79">
        <v>15.07072</v>
      </c>
      <c r="O608" s="79">
        <v>46.553159999999998</v>
      </c>
      <c r="P608" s="79">
        <v>5390.3476600000004</v>
      </c>
      <c r="Q608" s="77"/>
      <c r="R608" s="77"/>
      <c r="S608" s="77"/>
      <c r="T608" s="77"/>
      <c r="U608" s="77"/>
      <c r="V608" s="87"/>
      <c r="W608" s="87"/>
      <c r="X608" s="87"/>
      <c r="Y608" s="77"/>
      <c r="Z608" s="88"/>
      <c r="AA608" s="35"/>
      <c r="AB608" s="35"/>
    </row>
    <row r="609" spans="1:28" x14ac:dyDescent="0.25">
      <c r="A609" s="68" t="str">
        <f t="shared" si="30"/>
        <v>231269</v>
      </c>
      <c r="B609" s="10">
        <f t="shared" si="31"/>
        <v>154.8912</v>
      </c>
      <c r="C609" s="77" t="s">
        <v>5244</v>
      </c>
      <c r="D609" s="191" t="str">
        <f t="shared" si="29"/>
        <v>StrongLumio profil LED Groove 10, 1000mm bílá lak</v>
      </c>
      <c r="E609" s="77" t="s">
        <v>2687</v>
      </c>
      <c r="F609" s="77" t="s">
        <v>2688</v>
      </c>
      <c r="G609" s="77" t="s">
        <v>2690</v>
      </c>
      <c r="H609" s="77" t="s">
        <v>2689</v>
      </c>
      <c r="I609" s="77" t="s">
        <v>795</v>
      </c>
      <c r="J609" s="90">
        <v>50</v>
      </c>
      <c r="K609" s="91">
        <v>1</v>
      </c>
      <c r="L609" s="77" t="s">
        <v>6565</v>
      </c>
      <c r="M609" s="78">
        <v>154.8912</v>
      </c>
      <c r="N609" s="79">
        <v>5.9763200000000003</v>
      </c>
      <c r="O609" s="79">
        <v>18.460740000000001</v>
      </c>
      <c r="P609" s="79">
        <v>2157.63</v>
      </c>
      <c r="Q609" s="77"/>
      <c r="R609" s="77"/>
      <c r="S609" s="77"/>
      <c r="T609" s="77"/>
      <c r="U609" s="77"/>
      <c r="V609" s="87"/>
      <c r="W609" s="87"/>
      <c r="X609" s="87"/>
      <c r="Y609" s="77"/>
      <c r="Z609" s="88"/>
      <c r="AA609" s="35"/>
      <c r="AB609" s="35"/>
    </row>
    <row r="610" spans="1:28" x14ac:dyDescent="0.25">
      <c r="A610" s="68" t="str">
        <f t="shared" si="30"/>
        <v>231268</v>
      </c>
      <c r="B610" s="10">
        <f t="shared" si="31"/>
        <v>128.7954</v>
      </c>
      <c r="C610" s="77" t="s">
        <v>5245</v>
      </c>
      <c r="D610" s="191" t="str">
        <f t="shared" si="29"/>
        <v>StrongLumio profil LED Groove 10, 1000mm černá elox</v>
      </c>
      <c r="E610" s="77" t="s">
        <v>2691</v>
      </c>
      <c r="F610" s="77" t="s">
        <v>2692</v>
      </c>
      <c r="G610" s="77" t="s">
        <v>2694</v>
      </c>
      <c r="H610" s="77" t="s">
        <v>2693</v>
      </c>
      <c r="I610" s="77" t="s">
        <v>795</v>
      </c>
      <c r="J610" s="90">
        <v>50</v>
      </c>
      <c r="K610" s="91">
        <v>1</v>
      </c>
      <c r="L610" s="77" t="s">
        <v>6565</v>
      </c>
      <c r="M610" s="78">
        <v>128.7954</v>
      </c>
      <c r="N610" s="79">
        <v>4.9728000000000003</v>
      </c>
      <c r="O610" s="79">
        <v>15.3505</v>
      </c>
      <c r="P610" s="79">
        <v>1804.1199899999999</v>
      </c>
      <c r="Q610" s="77"/>
      <c r="R610" s="77"/>
      <c r="S610" s="77"/>
      <c r="T610" s="77"/>
      <c r="U610" s="77"/>
      <c r="V610" s="87"/>
      <c r="W610" s="87"/>
      <c r="X610" s="87"/>
      <c r="Y610" s="77"/>
      <c r="Z610" s="88"/>
      <c r="AA610" s="35"/>
      <c r="AB610" s="35"/>
    </row>
    <row r="611" spans="1:28" x14ac:dyDescent="0.25">
      <c r="A611" s="68" t="str">
        <f t="shared" si="30"/>
        <v>130633</v>
      </c>
      <c r="B611" s="10">
        <f t="shared" si="31"/>
        <v>93.439800000000005</v>
      </c>
      <c r="C611" s="77" t="s">
        <v>326</v>
      </c>
      <c r="D611" s="191" t="str">
        <f t="shared" si="29"/>
        <v>StrongLumio profil LED Groove 10, 1000mm stříbrná elox</v>
      </c>
      <c r="E611" s="77" t="s">
        <v>2695</v>
      </c>
      <c r="F611" s="77" t="s">
        <v>2696</v>
      </c>
      <c r="G611" s="77" t="s">
        <v>2698</v>
      </c>
      <c r="H611" s="77" t="s">
        <v>2697</v>
      </c>
      <c r="I611" s="77" t="s">
        <v>795</v>
      </c>
      <c r="J611" s="90">
        <v>40</v>
      </c>
      <c r="K611" s="91">
        <v>1</v>
      </c>
      <c r="L611" s="77" t="s">
        <v>227</v>
      </c>
      <c r="M611" s="78">
        <v>93.439800000000005</v>
      </c>
      <c r="N611" s="79">
        <v>3.60528</v>
      </c>
      <c r="O611" s="79">
        <v>11.13664</v>
      </c>
      <c r="P611" s="79">
        <v>1243.3800000000001</v>
      </c>
      <c r="Q611" s="77"/>
      <c r="R611" s="77"/>
      <c r="S611" s="77"/>
      <c r="T611" s="77"/>
      <c r="U611" s="77"/>
      <c r="V611" s="87"/>
      <c r="W611" s="87"/>
      <c r="X611" s="87"/>
      <c r="Y611" s="77"/>
      <c r="Z611" s="88"/>
      <c r="AA611" s="35"/>
      <c r="AB611" s="35"/>
    </row>
    <row r="612" spans="1:28" x14ac:dyDescent="0.25">
      <c r="A612" s="68" t="str">
        <f t="shared" si="30"/>
        <v>230906</v>
      </c>
      <c r="B612" s="10">
        <f t="shared" si="31"/>
        <v>375.44279999999998</v>
      </c>
      <c r="C612" s="77" t="s">
        <v>287</v>
      </c>
      <c r="D612" s="191" t="str">
        <f t="shared" si="29"/>
        <v>StrongLumio profil LED Groove 10, 2000mm bílá lak</v>
      </c>
      <c r="E612" s="77" t="s">
        <v>2699</v>
      </c>
      <c r="F612" s="77" t="s">
        <v>2700</v>
      </c>
      <c r="G612" s="77" t="s">
        <v>2702</v>
      </c>
      <c r="H612" s="77" t="s">
        <v>2701</v>
      </c>
      <c r="I612" s="77" t="s">
        <v>795</v>
      </c>
      <c r="J612" s="90">
        <v>50</v>
      </c>
      <c r="K612" s="91">
        <v>1</v>
      </c>
      <c r="L612" s="77" t="s">
        <v>227</v>
      </c>
      <c r="M612" s="78">
        <v>375.44279999999998</v>
      </c>
      <c r="N612" s="79">
        <v>14.486079999999999</v>
      </c>
      <c r="O612" s="79">
        <v>44.747219999999999</v>
      </c>
      <c r="P612" s="79">
        <v>5034.47001</v>
      </c>
      <c r="Q612" s="77"/>
      <c r="R612" s="77"/>
      <c r="S612" s="77"/>
      <c r="T612" s="77"/>
      <c r="U612" s="77"/>
      <c r="V612" s="87"/>
      <c r="W612" s="87"/>
      <c r="X612" s="87"/>
      <c r="Y612" s="77"/>
      <c r="Z612" s="88"/>
      <c r="AA612" s="35"/>
      <c r="AB612" s="35"/>
    </row>
    <row r="613" spans="1:28" x14ac:dyDescent="0.25">
      <c r="A613" s="68" t="str">
        <f t="shared" si="30"/>
        <v>230905</v>
      </c>
      <c r="B613" s="10">
        <f t="shared" si="31"/>
        <v>361.13220000000001</v>
      </c>
      <c r="C613" s="77" t="s">
        <v>306</v>
      </c>
      <c r="D613" s="191" t="str">
        <f t="shared" si="29"/>
        <v>StrongLumio profil LED Groove 10, 2000mm černá elox</v>
      </c>
      <c r="E613" s="77" t="s">
        <v>2703</v>
      </c>
      <c r="F613" s="77" t="s">
        <v>2704</v>
      </c>
      <c r="G613" s="77" t="s">
        <v>2706</v>
      </c>
      <c r="H613" s="77" t="s">
        <v>2705</v>
      </c>
      <c r="I613" s="77" t="s">
        <v>795</v>
      </c>
      <c r="J613" s="90">
        <v>50</v>
      </c>
      <c r="K613" s="91">
        <v>1</v>
      </c>
      <c r="L613" s="77" t="s">
        <v>227</v>
      </c>
      <c r="M613" s="78">
        <v>361.13220000000001</v>
      </c>
      <c r="N613" s="79">
        <v>13.933920000000001</v>
      </c>
      <c r="O613" s="79">
        <v>43.041600000000003</v>
      </c>
      <c r="P613" s="79">
        <v>4851.6200099999996</v>
      </c>
      <c r="Q613" s="77"/>
      <c r="R613" s="77"/>
      <c r="S613" s="77"/>
      <c r="T613" s="77"/>
      <c r="U613" s="77"/>
      <c r="V613" s="87"/>
      <c r="W613" s="87"/>
      <c r="X613" s="87"/>
      <c r="Y613" s="77"/>
      <c r="Z613" s="88"/>
      <c r="AA613" s="35"/>
      <c r="AB613" s="35"/>
    </row>
    <row r="614" spans="1:28" x14ac:dyDescent="0.25">
      <c r="A614" s="68" t="str">
        <f t="shared" si="30"/>
        <v>130634</v>
      </c>
      <c r="B614" s="10">
        <f t="shared" si="31"/>
        <v>242.4384</v>
      </c>
      <c r="C614" s="77" t="s">
        <v>334</v>
      </c>
      <c r="D614" s="191" t="str">
        <f t="shared" si="29"/>
        <v>StrongLumio profil LED Groove 10, 2000mm stříbrná elox</v>
      </c>
      <c r="E614" s="77" t="s">
        <v>2707</v>
      </c>
      <c r="F614" s="77" t="s">
        <v>2708</v>
      </c>
      <c r="G614" s="77" t="s">
        <v>2710</v>
      </c>
      <c r="H614" s="77" t="s">
        <v>2709</v>
      </c>
      <c r="I614" s="77" t="s">
        <v>795</v>
      </c>
      <c r="J614" s="90">
        <v>40</v>
      </c>
      <c r="K614" s="91">
        <v>1</v>
      </c>
      <c r="L614" s="77" t="s">
        <v>276</v>
      </c>
      <c r="M614" s="78">
        <v>242.4384</v>
      </c>
      <c r="N614" s="79">
        <v>9.3542400000000008</v>
      </c>
      <c r="O614" s="79">
        <v>28.895060000000001</v>
      </c>
      <c r="P614" s="79">
        <v>3254.73</v>
      </c>
      <c r="Q614" s="77"/>
      <c r="R614" s="77"/>
      <c r="S614" s="77"/>
      <c r="T614" s="77"/>
      <c r="U614" s="77"/>
      <c r="V614" s="87"/>
      <c r="W614" s="87"/>
      <c r="X614" s="87"/>
      <c r="Y614" s="77"/>
      <c r="Z614" s="88"/>
      <c r="AA614" s="35"/>
      <c r="AB614" s="35"/>
    </row>
    <row r="615" spans="1:28" x14ac:dyDescent="0.25">
      <c r="A615" s="68" t="str">
        <f t="shared" si="30"/>
        <v>285024</v>
      </c>
      <c r="B615" s="10">
        <f t="shared" si="31"/>
        <v>594.31079999999997</v>
      </c>
      <c r="C615" s="77" t="s">
        <v>295</v>
      </c>
      <c r="D615" s="191" t="str">
        <f t="shared" si="29"/>
        <v>StrongLumio profil LED Groove 10, 3000mm bílá lak</v>
      </c>
      <c r="E615" s="77" t="s">
        <v>2711</v>
      </c>
      <c r="F615" s="77" t="s">
        <v>2712</v>
      </c>
      <c r="G615" s="77" t="s">
        <v>2714</v>
      </c>
      <c r="H615" s="77" t="s">
        <v>2713</v>
      </c>
      <c r="I615" s="77" t="s">
        <v>795</v>
      </c>
      <c r="J615" s="90">
        <v>10</v>
      </c>
      <c r="K615" s="91">
        <v>1</v>
      </c>
      <c r="L615" s="77" t="s">
        <v>227</v>
      </c>
      <c r="M615" s="78">
        <v>594.31079999999997</v>
      </c>
      <c r="N615" s="79">
        <v>22.930879999999998</v>
      </c>
      <c r="O615" s="79">
        <v>70.833020000000005</v>
      </c>
      <c r="P615" s="79">
        <v>7984.4499900000001</v>
      </c>
      <c r="Q615" s="77"/>
      <c r="R615" s="77"/>
      <c r="S615" s="77"/>
      <c r="T615" s="77"/>
      <c r="U615" s="77"/>
      <c r="V615" s="87"/>
      <c r="W615" s="87"/>
      <c r="X615" s="87"/>
      <c r="Y615" s="77"/>
      <c r="Z615" s="88"/>
      <c r="AA615" s="35"/>
      <c r="AB615" s="35"/>
    </row>
    <row r="616" spans="1:28" x14ac:dyDescent="0.25">
      <c r="A616" s="68" t="str">
        <f t="shared" si="30"/>
        <v>277173</v>
      </c>
      <c r="B616" s="10">
        <f t="shared" si="31"/>
        <v>577.47479999999996</v>
      </c>
      <c r="C616" s="77" t="s">
        <v>314</v>
      </c>
      <c r="D616" s="191" t="str">
        <f t="shared" si="29"/>
        <v>StrongLumio profil LED Groove 10, 3000mm černá elox</v>
      </c>
      <c r="E616" s="77" t="s">
        <v>2715</v>
      </c>
      <c r="F616" s="77" t="s">
        <v>2716</v>
      </c>
      <c r="G616" s="77" t="s">
        <v>2718</v>
      </c>
      <c r="H616" s="77" t="s">
        <v>2717</v>
      </c>
      <c r="I616" s="77" t="s">
        <v>795</v>
      </c>
      <c r="J616" s="90">
        <v>10</v>
      </c>
      <c r="K616" s="91">
        <v>1</v>
      </c>
      <c r="L616" s="77" t="s">
        <v>227</v>
      </c>
      <c r="M616" s="78">
        <v>577.47479999999996</v>
      </c>
      <c r="N616" s="79">
        <v>22.281279999999999</v>
      </c>
      <c r="O616" s="79">
        <v>68.826430000000002</v>
      </c>
      <c r="P616" s="79">
        <v>7765.02999</v>
      </c>
      <c r="Q616" s="77"/>
      <c r="R616" s="77"/>
      <c r="S616" s="77"/>
      <c r="T616" s="77"/>
      <c r="U616" s="77"/>
      <c r="V616" s="87"/>
      <c r="W616" s="87"/>
      <c r="X616" s="87"/>
      <c r="Y616" s="77"/>
      <c r="Z616" s="88"/>
      <c r="AA616" s="35"/>
      <c r="AB616" s="35"/>
    </row>
    <row r="617" spans="1:28" x14ac:dyDescent="0.25">
      <c r="A617" s="68" t="str">
        <f t="shared" si="30"/>
        <v>233553</v>
      </c>
      <c r="B617" s="10">
        <f t="shared" si="31"/>
        <v>383.01900000000001</v>
      </c>
      <c r="C617" s="77" t="s">
        <v>336</v>
      </c>
      <c r="D617" s="191" t="str">
        <f t="shared" si="29"/>
        <v>StrongLumio profil LED Groove 10, 3000mm stříbrná elox</v>
      </c>
      <c r="E617" s="77" t="s">
        <v>2719</v>
      </c>
      <c r="F617" s="77" t="s">
        <v>2720</v>
      </c>
      <c r="G617" s="77" t="s">
        <v>2722</v>
      </c>
      <c r="H617" s="77" t="s">
        <v>2721</v>
      </c>
      <c r="I617" s="77" t="s">
        <v>795</v>
      </c>
      <c r="J617" s="90">
        <v>40</v>
      </c>
      <c r="K617" s="91">
        <v>1</v>
      </c>
      <c r="L617" s="77" t="s">
        <v>276</v>
      </c>
      <c r="M617" s="78">
        <v>383.01900000000001</v>
      </c>
      <c r="N617" s="79">
        <v>14.7784</v>
      </c>
      <c r="O617" s="79">
        <v>45.650179999999999</v>
      </c>
      <c r="P617" s="79">
        <v>5144.18001</v>
      </c>
      <c r="Q617" s="77"/>
      <c r="R617" s="77"/>
      <c r="S617" s="77"/>
      <c r="T617" s="77"/>
      <c r="U617" s="77"/>
      <c r="V617" s="87"/>
      <c r="W617" s="87"/>
      <c r="X617" s="87"/>
      <c r="Y617" s="77"/>
      <c r="Z617" s="88"/>
      <c r="AA617" s="35"/>
      <c r="AB617" s="35"/>
    </row>
    <row r="618" spans="1:28" x14ac:dyDescent="0.25">
      <c r="A618" s="68" t="str">
        <f t="shared" si="30"/>
        <v>353542</v>
      </c>
      <c r="B618" s="10">
        <f t="shared" si="31"/>
        <v>787.9248</v>
      </c>
      <c r="C618" s="77" t="s">
        <v>296</v>
      </c>
      <c r="D618" s="191" t="str">
        <f t="shared" si="29"/>
        <v>StrongLumio profil LED Groove 10, 4050mm bílá lak</v>
      </c>
      <c r="E618" s="77" t="s">
        <v>2723</v>
      </c>
      <c r="F618" s="77" t="s">
        <v>2724</v>
      </c>
      <c r="G618" s="77" t="s">
        <v>2726</v>
      </c>
      <c r="H618" s="77" t="s">
        <v>2725</v>
      </c>
      <c r="I618" s="77" t="s">
        <v>795</v>
      </c>
      <c r="J618" s="90">
        <v>10</v>
      </c>
      <c r="K618" s="91">
        <v>1</v>
      </c>
      <c r="L618" s="77" t="s">
        <v>227</v>
      </c>
      <c r="M618" s="78">
        <v>787.9248</v>
      </c>
      <c r="N618" s="79">
        <v>30.40128</v>
      </c>
      <c r="O618" s="79">
        <v>93.908959999999993</v>
      </c>
      <c r="P618" s="79">
        <v>10580.91999</v>
      </c>
      <c r="Q618" s="77"/>
      <c r="R618" s="77"/>
      <c r="S618" s="77"/>
      <c r="T618" s="77"/>
      <c r="U618" s="77"/>
      <c r="V618" s="87"/>
      <c r="W618" s="87"/>
      <c r="X618" s="87"/>
      <c r="Y618" s="77"/>
      <c r="Z618" s="88"/>
      <c r="AA618" s="35"/>
      <c r="AB618" s="35"/>
    </row>
    <row r="619" spans="1:28" x14ac:dyDescent="0.25">
      <c r="A619" s="68" t="str">
        <f t="shared" si="30"/>
        <v>353543</v>
      </c>
      <c r="B619" s="10">
        <f t="shared" si="31"/>
        <v>761.82899999999995</v>
      </c>
      <c r="C619" s="77" t="s">
        <v>316</v>
      </c>
      <c r="D619" s="191" t="str">
        <f t="shared" si="29"/>
        <v>StrongLumio profil LED Groove 10, 4050mm černá elox</v>
      </c>
      <c r="E619" s="77" t="s">
        <v>2727</v>
      </c>
      <c r="F619" s="77" t="s">
        <v>2728</v>
      </c>
      <c r="G619" s="77" t="s">
        <v>2730</v>
      </c>
      <c r="H619" s="77" t="s">
        <v>2729</v>
      </c>
      <c r="I619" s="77" t="s">
        <v>795</v>
      </c>
      <c r="J619" s="90">
        <v>10</v>
      </c>
      <c r="K619" s="91">
        <v>1</v>
      </c>
      <c r="L619" s="77" t="s">
        <v>227</v>
      </c>
      <c r="M619" s="78">
        <v>761.82899999999995</v>
      </c>
      <c r="N619" s="79">
        <v>29.394400000000001</v>
      </c>
      <c r="O619" s="79">
        <v>90.79871</v>
      </c>
      <c r="P619" s="79">
        <v>10239.6</v>
      </c>
      <c r="Q619" s="77"/>
      <c r="R619" s="77"/>
      <c r="S619" s="77"/>
      <c r="T619" s="77"/>
      <c r="U619" s="77"/>
      <c r="V619" s="87"/>
      <c r="W619" s="87"/>
      <c r="X619" s="87"/>
      <c r="Y619" s="77"/>
      <c r="Z619" s="88"/>
      <c r="AA619" s="35"/>
      <c r="AB619" s="35"/>
    </row>
    <row r="620" spans="1:28" x14ac:dyDescent="0.25">
      <c r="A620" s="68" t="str">
        <f t="shared" si="30"/>
        <v>269800</v>
      </c>
      <c r="B620" s="10">
        <f t="shared" si="31"/>
        <v>487.40219999999999</v>
      </c>
      <c r="C620" s="77" t="s">
        <v>337</v>
      </c>
      <c r="D620" s="191" t="str">
        <f t="shared" si="29"/>
        <v>StrongLumio profil LED Groove 10, 4050mm stříbrná elox</v>
      </c>
      <c r="E620" s="77" t="s">
        <v>2731</v>
      </c>
      <c r="F620" s="77" t="s">
        <v>2732</v>
      </c>
      <c r="G620" s="77" t="s">
        <v>2734</v>
      </c>
      <c r="H620" s="77" t="s">
        <v>2733</v>
      </c>
      <c r="I620" s="77" t="s">
        <v>795</v>
      </c>
      <c r="J620" s="90">
        <v>40</v>
      </c>
      <c r="K620" s="91">
        <v>1</v>
      </c>
      <c r="L620" s="77" t="s">
        <v>227</v>
      </c>
      <c r="M620" s="78">
        <v>487.40219999999999</v>
      </c>
      <c r="N620" s="79">
        <v>18.80592</v>
      </c>
      <c r="O620" s="79">
        <v>58.091099999999997</v>
      </c>
      <c r="P620" s="79">
        <v>6546.03</v>
      </c>
      <c r="Q620" s="77"/>
      <c r="R620" s="77"/>
      <c r="S620" s="77"/>
      <c r="T620" s="77"/>
      <c r="U620" s="77"/>
      <c r="V620" s="87"/>
      <c r="W620" s="87"/>
      <c r="X620" s="87"/>
      <c r="Y620" s="77"/>
      <c r="Z620" s="88"/>
      <c r="AA620" s="35"/>
      <c r="AB620" s="35"/>
    </row>
    <row r="621" spans="1:28" x14ac:dyDescent="0.25">
      <c r="A621" s="68" t="str">
        <f t="shared" si="30"/>
        <v>408363</v>
      </c>
      <c r="B621" s="10">
        <f t="shared" si="31"/>
        <v>308.09879999999998</v>
      </c>
      <c r="C621" s="77" t="s">
        <v>5246</v>
      </c>
      <c r="D621" s="191" t="str">
        <f t="shared" si="29"/>
        <v>StrongLumio profil LED Groove 14 alu anodovaný 2000mm</v>
      </c>
      <c r="E621" s="77" t="s">
        <v>2735</v>
      </c>
      <c r="F621" s="77" t="s">
        <v>2735</v>
      </c>
      <c r="G621" s="77" t="s">
        <v>2737</v>
      </c>
      <c r="H621" s="77" t="s">
        <v>2736</v>
      </c>
      <c r="I621" s="77" t="s">
        <v>795</v>
      </c>
      <c r="J621" s="90">
        <v>40</v>
      </c>
      <c r="K621" s="91">
        <v>1</v>
      </c>
      <c r="L621" s="77" t="s">
        <v>6565</v>
      </c>
      <c r="M621" s="78">
        <v>308.09879999999998</v>
      </c>
      <c r="N621" s="79">
        <v>11.88768</v>
      </c>
      <c r="O621" s="79">
        <v>36.72081</v>
      </c>
      <c r="P621" s="79">
        <v>4303.0700100000004</v>
      </c>
      <c r="Q621" s="77"/>
      <c r="R621" s="77"/>
      <c r="S621" s="77"/>
      <c r="T621" s="77"/>
      <c r="U621" s="77"/>
      <c r="V621" s="87"/>
      <c r="W621" s="87"/>
      <c r="X621" s="87"/>
      <c r="Y621" s="77"/>
      <c r="Z621" s="88"/>
      <c r="AA621" s="35"/>
      <c r="AB621" s="35"/>
    </row>
    <row r="622" spans="1:28" x14ac:dyDescent="0.25">
      <c r="A622" s="68" t="str">
        <f t="shared" si="30"/>
        <v>405259</v>
      </c>
      <c r="B622" s="10">
        <f t="shared" si="31"/>
        <v>340.0872</v>
      </c>
      <c r="C622" s="77" t="s">
        <v>5247</v>
      </c>
      <c r="D622" s="191" t="str">
        <f t="shared" si="29"/>
        <v>StrongLumio profil LED HI 8, 2000mm stříbrná elox</v>
      </c>
      <c r="E622" s="77" t="s">
        <v>2738</v>
      </c>
      <c r="F622" s="77" t="s">
        <v>2739</v>
      </c>
      <c r="G622" s="77" t="s">
        <v>2741</v>
      </c>
      <c r="H622" s="77" t="s">
        <v>2740</v>
      </c>
      <c r="I622" s="77" t="s">
        <v>795</v>
      </c>
      <c r="J622" s="90">
        <v>80</v>
      </c>
      <c r="K622" s="91">
        <v>1</v>
      </c>
      <c r="L622" s="77" t="s">
        <v>227</v>
      </c>
      <c r="M622" s="78">
        <v>340.0872</v>
      </c>
      <c r="N622" s="79">
        <v>13.121919999999999</v>
      </c>
      <c r="O622" s="79">
        <v>40.533340000000003</v>
      </c>
      <c r="P622" s="79">
        <v>4571.25</v>
      </c>
      <c r="Q622" s="77"/>
      <c r="R622" s="77"/>
      <c r="S622" s="77"/>
      <c r="T622" s="77"/>
      <c r="U622" s="77"/>
      <c r="V622" s="87"/>
      <c r="W622" s="87"/>
      <c r="X622" s="87"/>
      <c r="Y622" s="77"/>
      <c r="Z622" s="88"/>
      <c r="AA622" s="35"/>
      <c r="AB622" s="35"/>
    </row>
    <row r="623" spans="1:28" x14ac:dyDescent="0.25">
      <c r="A623" s="68" t="str">
        <f t="shared" si="30"/>
        <v>405260</v>
      </c>
      <c r="B623" s="10">
        <f t="shared" si="31"/>
        <v>544.64459999999997</v>
      </c>
      <c r="C623" s="77" t="s">
        <v>5248</v>
      </c>
      <c r="D623" s="191" t="str">
        <f t="shared" si="29"/>
        <v>StrongLumio profil LED HI 8, 3000mm stříbrná elox</v>
      </c>
      <c r="E623" s="77" t="s">
        <v>2742</v>
      </c>
      <c r="F623" s="77" t="s">
        <v>2743</v>
      </c>
      <c r="G623" s="77" t="s">
        <v>2745</v>
      </c>
      <c r="H623" s="77" t="s">
        <v>2744</v>
      </c>
      <c r="I623" s="77" t="s">
        <v>795</v>
      </c>
      <c r="J623" s="90">
        <v>40</v>
      </c>
      <c r="K623" s="91">
        <v>1</v>
      </c>
      <c r="L623" s="77" t="s">
        <v>227</v>
      </c>
      <c r="M623" s="78">
        <v>544.64459999999997</v>
      </c>
      <c r="N623" s="79">
        <v>21.014559999999999</v>
      </c>
      <c r="O623" s="79">
        <v>78.257360000000006</v>
      </c>
      <c r="P623" s="79">
        <v>7314</v>
      </c>
      <c r="Q623" s="77"/>
      <c r="R623" s="77"/>
      <c r="S623" s="77"/>
      <c r="T623" s="77"/>
      <c r="U623" s="77"/>
      <c r="V623" s="87"/>
      <c r="W623" s="87"/>
      <c r="X623" s="87"/>
      <c r="Y623" s="77"/>
      <c r="Z623" s="88"/>
      <c r="AA623" s="35"/>
      <c r="AB623" s="35"/>
    </row>
    <row r="624" spans="1:28" x14ac:dyDescent="0.25">
      <c r="A624" s="68" t="str">
        <f t="shared" si="30"/>
        <v>405261</v>
      </c>
      <c r="B624" s="10">
        <f t="shared" si="31"/>
        <v>692.80139999999994</v>
      </c>
      <c r="C624" s="77" t="s">
        <v>5249</v>
      </c>
      <c r="D624" s="191" t="str">
        <f t="shared" si="29"/>
        <v>StrongLumio profil LED HI 8, 4050mm stříbrná elox</v>
      </c>
      <c r="E624" s="77" t="s">
        <v>2746</v>
      </c>
      <c r="F624" s="77" t="s">
        <v>2747</v>
      </c>
      <c r="G624" s="77" t="s">
        <v>2749</v>
      </c>
      <c r="H624" s="77" t="s">
        <v>2748</v>
      </c>
      <c r="I624" s="77" t="s">
        <v>795</v>
      </c>
      <c r="J624" s="90">
        <v>40</v>
      </c>
      <c r="K624" s="91">
        <v>1</v>
      </c>
      <c r="L624" s="77" t="s">
        <v>227</v>
      </c>
      <c r="M624" s="78">
        <v>692.80139999999994</v>
      </c>
      <c r="N624" s="79">
        <v>26.73104</v>
      </c>
      <c r="O624" s="79">
        <v>82.571640000000002</v>
      </c>
      <c r="P624" s="79">
        <v>9300.9699899999996</v>
      </c>
      <c r="Q624" s="77"/>
      <c r="R624" s="77"/>
      <c r="S624" s="77"/>
      <c r="T624" s="77"/>
      <c r="U624" s="77"/>
      <c r="V624" s="87"/>
      <c r="W624" s="87"/>
      <c r="X624" s="87"/>
      <c r="Y624" s="77"/>
      <c r="Z624" s="88"/>
      <c r="AA624" s="35"/>
      <c r="AB624" s="35"/>
    </row>
    <row r="625" spans="1:28" x14ac:dyDescent="0.25">
      <c r="A625" s="68" t="str">
        <f t="shared" si="30"/>
        <v>405272</v>
      </c>
      <c r="B625" s="10">
        <f t="shared" si="31"/>
        <v>1073.2950000000001</v>
      </c>
      <c r="C625" s="77" t="s">
        <v>5250</v>
      </c>
      <c r="D625" s="191" t="str">
        <f t="shared" si="29"/>
        <v>StrongLumio profil LED Lucas narážecí, 2000mm bílá lak</v>
      </c>
      <c r="E625" s="77" t="s">
        <v>2750</v>
      </c>
      <c r="F625" s="77" t="s">
        <v>2751</v>
      </c>
      <c r="G625" s="77" t="s">
        <v>2753</v>
      </c>
      <c r="H625" s="77" t="s">
        <v>2752</v>
      </c>
      <c r="I625" s="77" t="s">
        <v>795</v>
      </c>
      <c r="J625" s="90">
        <v>20</v>
      </c>
      <c r="K625" s="91">
        <v>1</v>
      </c>
      <c r="L625" s="77" t="s">
        <v>227</v>
      </c>
      <c r="M625" s="78">
        <v>1073.2950000000001</v>
      </c>
      <c r="N625" s="79">
        <v>41.411999999999999</v>
      </c>
      <c r="O625" s="79">
        <v>127.92085</v>
      </c>
      <c r="P625" s="79">
        <v>14957.13</v>
      </c>
      <c r="Q625" s="77"/>
      <c r="R625" s="77"/>
      <c r="S625" s="77"/>
      <c r="T625" s="77"/>
      <c r="U625" s="77"/>
      <c r="V625" s="87"/>
      <c r="W625" s="87"/>
      <c r="X625" s="87"/>
      <c r="Y625" s="77"/>
      <c r="Z625" s="88"/>
      <c r="AA625" s="35"/>
      <c r="AB625" s="35"/>
    </row>
    <row r="626" spans="1:28" x14ac:dyDescent="0.25">
      <c r="A626" s="68" t="str">
        <f t="shared" si="30"/>
        <v>405273</v>
      </c>
      <c r="B626" s="10">
        <f t="shared" si="31"/>
        <v>801.39359999999999</v>
      </c>
      <c r="C626" s="77" t="s">
        <v>5251</v>
      </c>
      <c r="D626" s="191" t="str">
        <f t="shared" si="29"/>
        <v>StrongLumio profil LED Lucas narážecí, 2000mm černá elox</v>
      </c>
      <c r="E626" s="77" t="s">
        <v>2754</v>
      </c>
      <c r="F626" s="77" t="s">
        <v>2755</v>
      </c>
      <c r="G626" s="77" t="s">
        <v>2757</v>
      </c>
      <c r="H626" s="77" t="s">
        <v>2756</v>
      </c>
      <c r="I626" s="77" t="s">
        <v>795</v>
      </c>
      <c r="J626" s="90">
        <v>20</v>
      </c>
      <c r="K626" s="91">
        <v>1</v>
      </c>
      <c r="L626" s="77" t="s">
        <v>227</v>
      </c>
      <c r="M626" s="78">
        <v>801.39359999999999</v>
      </c>
      <c r="N626" s="79">
        <v>30.920960000000001</v>
      </c>
      <c r="O626" s="79">
        <v>95.514240000000001</v>
      </c>
      <c r="P626" s="79">
        <v>11166.039989999999</v>
      </c>
      <c r="Q626" s="77"/>
      <c r="R626" s="77"/>
      <c r="S626" s="77"/>
      <c r="T626" s="77"/>
      <c r="U626" s="77"/>
      <c r="V626" s="87"/>
      <c r="W626" s="87"/>
      <c r="X626" s="87"/>
      <c r="Y626" s="77"/>
      <c r="Z626" s="88"/>
      <c r="AA626" s="35"/>
      <c r="AB626" s="35"/>
    </row>
    <row r="627" spans="1:28" x14ac:dyDescent="0.25">
      <c r="A627" s="68" t="str">
        <f t="shared" si="30"/>
        <v>405271</v>
      </c>
      <c r="B627" s="10">
        <f t="shared" si="31"/>
        <v>658.2876</v>
      </c>
      <c r="C627" s="77" t="s">
        <v>5252</v>
      </c>
      <c r="D627" s="191" t="str">
        <f t="shared" si="29"/>
        <v>StrongLumio profil LED Lucas narážecí, 2000mm stříbrná elox</v>
      </c>
      <c r="E627" s="77" t="s">
        <v>2758</v>
      </c>
      <c r="F627" s="77" t="s">
        <v>2759</v>
      </c>
      <c r="G627" s="77" t="s">
        <v>2761</v>
      </c>
      <c r="H627" s="77" t="s">
        <v>2760</v>
      </c>
      <c r="I627" s="77" t="s">
        <v>795</v>
      </c>
      <c r="J627" s="90">
        <v>20</v>
      </c>
      <c r="K627" s="91">
        <v>1</v>
      </c>
      <c r="L627" s="77" t="s">
        <v>227</v>
      </c>
      <c r="M627" s="78">
        <v>658.2876</v>
      </c>
      <c r="N627" s="79">
        <v>25.399360000000001</v>
      </c>
      <c r="O627" s="79">
        <v>78.458119999999994</v>
      </c>
      <c r="P627" s="79">
        <v>9166.8800100000008</v>
      </c>
      <c r="Q627" s="77"/>
      <c r="R627" s="77"/>
      <c r="S627" s="77"/>
      <c r="T627" s="77"/>
      <c r="U627" s="77"/>
      <c r="V627" s="87"/>
      <c r="W627" s="87"/>
      <c r="X627" s="87"/>
      <c r="Y627" s="77"/>
      <c r="Z627" s="88"/>
      <c r="AA627" s="35"/>
      <c r="AB627" s="35"/>
    </row>
    <row r="628" spans="1:28" x14ac:dyDescent="0.25">
      <c r="A628" s="68" t="str">
        <f t="shared" si="30"/>
        <v>550759</v>
      </c>
      <c r="B628" s="10">
        <f t="shared" si="31"/>
        <v>527.65311999999994</v>
      </c>
      <c r="C628" s="77" t="s">
        <v>5253</v>
      </c>
      <c r="D628" s="191" t="str">
        <f t="shared" si="29"/>
        <v>StrongLumio profil LED Maglyte-10 Angular, 2030mm, černá elox</v>
      </c>
      <c r="E628" s="77" t="s">
        <v>2762</v>
      </c>
      <c r="F628" s="77" t="s">
        <v>2763</v>
      </c>
      <c r="G628" s="77" t="s">
        <v>2765</v>
      </c>
      <c r="H628" s="77" t="s">
        <v>2764</v>
      </c>
      <c r="I628" s="77" t="s">
        <v>795</v>
      </c>
      <c r="J628" s="90">
        <v>20</v>
      </c>
      <c r="K628" s="91">
        <v>1</v>
      </c>
      <c r="L628" s="77" t="s">
        <v>227</v>
      </c>
      <c r="M628" s="78">
        <v>527.65311999999994</v>
      </c>
      <c r="N628" s="79">
        <v>20.266500000000001</v>
      </c>
      <c r="O628" s="79">
        <v>60.516100000000002</v>
      </c>
      <c r="P628" s="79">
        <v>7328.5154899999998</v>
      </c>
      <c r="Q628" s="77"/>
      <c r="R628" s="77"/>
      <c r="S628" s="77"/>
      <c r="T628" s="77"/>
      <c r="U628" s="77"/>
      <c r="V628" s="87"/>
      <c r="W628" s="87"/>
      <c r="X628" s="87"/>
      <c r="Y628" s="77"/>
      <c r="Z628" s="88"/>
      <c r="AA628" s="35"/>
      <c r="AB628" s="35"/>
    </row>
    <row r="629" spans="1:28" x14ac:dyDescent="0.25">
      <c r="A629" s="68" t="str">
        <f t="shared" si="30"/>
        <v>550648</v>
      </c>
      <c r="B629" s="10">
        <f t="shared" si="31"/>
        <v>449.52472999999998</v>
      </c>
      <c r="C629" s="77" t="s">
        <v>5254</v>
      </c>
      <c r="D629" s="191" t="str">
        <f t="shared" si="29"/>
        <v>StrongLumio profil LED Maglyte-10 Angular, 2030mm, stříbrná elox</v>
      </c>
      <c r="E629" s="77" t="s">
        <v>2766</v>
      </c>
      <c r="F629" s="77" t="s">
        <v>2767</v>
      </c>
      <c r="G629" s="77" t="s">
        <v>6462</v>
      </c>
      <c r="H629" s="77" t="s">
        <v>2768</v>
      </c>
      <c r="I629" s="77" t="s">
        <v>795</v>
      </c>
      <c r="J629" s="90">
        <v>20</v>
      </c>
      <c r="K629" s="91">
        <v>1</v>
      </c>
      <c r="L629" s="77" t="s">
        <v>227</v>
      </c>
      <c r="M629" s="78">
        <v>449.52472999999998</v>
      </c>
      <c r="N629" s="79">
        <v>17.265689999999999</v>
      </c>
      <c r="O629" s="79">
        <v>51.555610000000001</v>
      </c>
      <c r="P629" s="79">
        <v>6243.3990000000003</v>
      </c>
      <c r="Q629" s="77"/>
      <c r="R629" s="77"/>
      <c r="S629" s="77"/>
      <c r="T629" s="77"/>
      <c r="U629" s="77"/>
      <c r="V629" s="87"/>
      <c r="W629" s="87"/>
      <c r="X629" s="87"/>
      <c r="Y629" s="77"/>
      <c r="Z629" s="88"/>
      <c r="AA629" s="35"/>
      <c r="AB629" s="35"/>
    </row>
    <row r="630" spans="1:28" x14ac:dyDescent="0.25">
      <c r="A630" s="68" t="str">
        <f t="shared" si="30"/>
        <v>550761</v>
      </c>
      <c r="B630" s="10">
        <f t="shared" si="31"/>
        <v>760.89229</v>
      </c>
      <c r="C630" s="77" t="s">
        <v>5255</v>
      </c>
      <c r="D630" s="191" t="str">
        <f t="shared" si="29"/>
        <v>StrongLumio profil LED Maglyte-10 Angular, 3030mm, černá elox</v>
      </c>
      <c r="E630" s="77" t="s">
        <v>2769</v>
      </c>
      <c r="F630" s="77" t="s">
        <v>2770</v>
      </c>
      <c r="G630" s="77" t="s">
        <v>6463</v>
      </c>
      <c r="H630" s="77" t="s">
        <v>2771</v>
      </c>
      <c r="I630" s="77" t="s">
        <v>795</v>
      </c>
      <c r="J630" s="90">
        <v>20</v>
      </c>
      <c r="K630" s="91">
        <v>1</v>
      </c>
      <c r="L630" s="77" t="s">
        <v>227</v>
      </c>
      <c r="M630" s="78">
        <v>760.89229</v>
      </c>
      <c r="N630" s="79">
        <v>29.22495</v>
      </c>
      <c r="O630" s="79">
        <v>87.266090000000005</v>
      </c>
      <c r="P630" s="79">
        <v>10567.94852</v>
      </c>
      <c r="Q630" s="77"/>
      <c r="R630" s="77"/>
      <c r="S630" s="77"/>
      <c r="T630" s="77"/>
      <c r="U630" s="77"/>
      <c r="V630" s="87"/>
      <c r="W630" s="87"/>
      <c r="X630" s="87"/>
      <c r="Y630" s="77"/>
      <c r="Z630" s="88"/>
      <c r="AA630" s="35"/>
      <c r="AB630" s="35"/>
    </row>
    <row r="631" spans="1:28" x14ac:dyDescent="0.25">
      <c r="A631" s="68" t="str">
        <f t="shared" si="30"/>
        <v>550760</v>
      </c>
      <c r="B631" s="10">
        <f t="shared" si="31"/>
        <v>494.88310999999999</v>
      </c>
      <c r="C631" s="77" t="s">
        <v>5256</v>
      </c>
      <c r="D631" s="191" t="str">
        <f t="shared" si="29"/>
        <v>StrongLumio profil LED Maglyte-10 Angular, 3030mm, stříbrná elox</v>
      </c>
      <c r="E631" s="77" t="s">
        <v>2772</v>
      </c>
      <c r="F631" s="77" t="s">
        <v>2773</v>
      </c>
      <c r="G631" s="77" t="s">
        <v>2775</v>
      </c>
      <c r="H631" s="77" t="s">
        <v>2774</v>
      </c>
      <c r="I631" s="77" t="s">
        <v>795</v>
      </c>
      <c r="J631" s="90">
        <v>20</v>
      </c>
      <c r="K631" s="91">
        <v>1</v>
      </c>
      <c r="L631" s="77" t="s">
        <v>227</v>
      </c>
      <c r="M631" s="78">
        <v>494.88310999999999</v>
      </c>
      <c r="N631" s="79">
        <v>19.007850000000001</v>
      </c>
      <c r="O631" s="79">
        <v>56.757730000000002</v>
      </c>
      <c r="P631" s="79">
        <v>6873.3765000000003</v>
      </c>
      <c r="Q631" s="77"/>
      <c r="R631" s="77"/>
      <c r="S631" s="77"/>
      <c r="T631" s="77"/>
      <c r="U631" s="77"/>
      <c r="V631" s="87"/>
      <c r="W631" s="87"/>
      <c r="X631" s="87"/>
      <c r="Y631" s="77"/>
      <c r="Z631" s="88"/>
      <c r="AA631" s="35"/>
      <c r="AB631" s="35"/>
    </row>
    <row r="632" spans="1:28" x14ac:dyDescent="0.25">
      <c r="A632" s="68" t="str">
        <f t="shared" si="30"/>
        <v>550643</v>
      </c>
      <c r="B632" s="10">
        <f t="shared" si="31"/>
        <v>451.35306000000003</v>
      </c>
      <c r="C632" s="77" t="s">
        <v>5257</v>
      </c>
      <c r="D632" s="191" t="str">
        <f t="shared" si="29"/>
        <v>StrongLumio profil LED Maglyte-10, 2030mm, černá elox</v>
      </c>
      <c r="E632" s="77" t="s">
        <v>2776</v>
      </c>
      <c r="F632" s="77" t="s">
        <v>2777</v>
      </c>
      <c r="G632" s="77" t="s">
        <v>6464</v>
      </c>
      <c r="H632" s="77" t="s">
        <v>2778</v>
      </c>
      <c r="I632" s="77" t="s">
        <v>795</v>
      </c>
      <c r="J632" s="90">
        <v>20</v>
      </c>
      <c r="K632" s="91">
        <v>1</v>
      </c>
      <c r="L632" s="77" t="s">
        <v>227</v>
      </c>
      <c r="M632" s="78">
        <v>451.35306000000003</v>
      </c>
      <c r="N632" s="79">
        <v>17.335920000000002</v>
      </c>
      <c r="O632" s="79">
        <v>51.76529</v>
      </c>
      <c r="P632" s="79">
        <v>6268.7925100000002</v>
      </c>
      <c r="Q632" s="77"/>
      <c r="R632" s="77"/>
      <c r="S632" s="77"/>
      <c r="T632" s="77"/>
      <c r="U632" s="77"/>
      <c r="V632" s="87"/>
      <c r="W632" s="87"/>
      <c r="X632" s="87"/>
      <c r="Y632" s="77"/>
      <c r="Z632" s="88"/>
      <c r="AA632" s="35"/>
      <c r="AB632" s="35"/>
    </row>
    <row r="633" spans="1:28" x14ac:dyDescent="0.25">
      <c r="A633" s="68" t="str">
        <f t="shared" si="30"/>
        <v>550642</v>
      </c>
      <c r="B633" s="10">
        <f t="shared" si="31"/>
        <v>392.93392</v>
      </c>
      <c r="C633" s="77" t="s">
        <v>5258</v>
      </c>
      <c r="D633" s="191" t="str">
        <f t="shared" si="29"/>
        <v>StrongLumio profil LED Maglyte-10, 2030mm, stříbrná elox</v>
      </c>
      <c r="E633" s="77" t="s">
        <v>2779</v>
      </c>
      <c r="F633" s="77" t="s">
        <v>2780</v>
      </c>
      <c r="G633" s="77" t="s">
        <v>6465</v>
      </c>
      <c r="H633" s="77" t="s">
        <v>2781</v>
      </c>
      <c r="I633" s="77" t="s">
        <v>795</v>
      </c>
      <c r="J633" s="90">
        <v>20</v>
      </c>
      <c r="K633" s="91">
        <v>1</v>
      </c>
      <c r="L633" s="77" t="s">
        <v>227</v>
      </c>
      <c r="M633" s="78">
        <v>392.93392</v>
      </c>
      <c r="N633" s="79">
        <v>15.0921</v>
      </c>
      <c r="O633" s="79">
        <v>45.065269999999998</v>
      </c>
      <c r="P633" s="79">
        <v>5457.4155099999998</v>
      </c>
      <c r="Q633" s="77"/>
      <c r="R633" s="77"/>
      <c r="S633" s="77"/>
      <c r="T633" s="77"/>
      <c r="U633" s="77"/>
      <c r="V633" s="87"/>
      <c r="W633" s="87"/>
      <c r="X633" s="87"/>
      <c r="Y633" s="77"/>
      <c r="Z633" s="88"/>
      <c r="AA633" s="35"/>
      <c r="AB633" s="35"/>
    </row>
    <row r="634" spans="1:28" x14ac:dyDescent="0.25">
      <c r="A634" s="68" t="str">
        <f t="shared" si="30"/>
        <v>550645</v>
      </c>
      <c r="B634" s="10">
        <f t="shared" si="31"/>
        <v>661.5675</v>
      </c>
      <c r="C634" s="77" t="s">
        <v>5259</v>
      </c>
      <c r="D634" s="191" t="str">
        <f t="shared" si="29"/>
        <v>StrongLumio profil LED Maglyte-10, 3030mm, černá elox</v>
      </c>
      <c r="E634" s="77" t="s">
        <v>2782</v>
      </c>
      <c r="F634" s="77" t="s">
        <v>2783</v>
      </c>
      <c r="G634" s="77" t="s">
        <v>6466</v>
      </c>
      <c r="H634" s="77" t="s">
        <v>2784</v>
      </c>
      <c r="I634" s="77" t="s">
        <v>795</v>
      </c>
      <c r="J634" s="90">
        <v>20</v>
      </c>
      <c r="K634" s="91">
        <v>1</v>
      </c>
      <c r="L634" s="77" t="s">
        <v>227</v>
      </c>
      <c r="M634" s="78">
        <v>661.5675</v>
      </c>
      <c r="N634" s="79">
        <v>25.41</v>
      </c>
      <c r="O634" s="79">
        <v>75.874619999999993</v>
      </c>
      <c r="P634" s="79">
        <v>9188.4375199999995</v>
      </c>
      <c r="Q634" s="77"/>
      <c r="R634" s="77"/>
      <c r="S634" s="77"/>
      <c r="T634" s="77"/>
      <c r="U634" s="77"/>
      <c r="V634" s="87"/>
      <c r="W634" s="87"/>
      <c r="X634" s="87"/>
      <c r="Y634" s="77"/>
      <c r="Z634" s="88"/>
      <c r="AA634" s="35"/>
      <c r="AB634" s="35"/>
    </row>
    <row r="635" spans="1:28" x14ac:dyDescent="0.25">
      <c r="A635" s="68" t="str">
        <f t="shared" si="30"/>
        <v>550644</v>
      </c>
      <c r="B635" s="10">
        <f t="shared" si="31"/>
        <v>506.22926000000001</v>
      </c>
      <c r="C635" s="77" t="s">
        <v>5260</v>
      </c>
      <c r="D635" s="191" t="str">
        <f t="shared" si="29"/>
        <v>StrongLumio profil LED Maglyte-10, 3030mm, stříbrná elox</v>
      </c>
      <c r="E635" s="77" t="s">
        <v>2785</v>
      </c>
      <c r="F635" s="77" t="s">
        <v>2786</v>
      </c>
      <c r="G635" s="77" t="s">
        <v>6467</v>
      </c>
      <c r="H635" s="77" t="s">
        <v>2787</v>
      </c>
      <c r="I635" s="77" t="s">
        <v>795</v>
      </c>
      <c r="J635" s="90">
        <v>20</v>
      </c>
      <c r="K635" s="91">
        <v>1</v>
      </c>
      <c r="L635" s="77" t="s">
        <v>227</v>
      </c>
      <c r="M635" s="78">
        <v>506.22926000000001</v>
      </c>
      <c r="N635" s="79">
        <v>19.443660000000001</v>
      </c>
      <c r="O635" s="79">
        <v>58.059019999999997</v>
      </c>
      <c r="P635" s="79">
        <v>7030.9620000000004</v>
      </c>
      <c r="Q635" s="77"/>
      <c r="R635" s="77"/>
      <c r="S635" s="77"/>
      <c r="T635" s="77"/>
      <c r="U635" s="77"/>
      <c r="V635" s="87"/>
      <c r="W635" s="87"/>
      <c r="X635" s="87"/>
      <c r="Y635" s="77"/>
      <c r="Z635" s="88"/>
      <c r="AA635" s="35"/>
      <c r="AB635" s="35"/>
    </row>
    <row r="636" spans="1:28" x14ac:dyDescent="0.25">
      <c r="A636" s="68" t="str">
        <f t="shared" si="30"/>
        <v>222577</v>
      </c>
      <c r="B636" s="10">
        <f t="shared" si="31"/>
        <v>495.8202</v>
      </c>
      <c r="C636" s="77" t="s">
        <v>5261</v>
      </c>
      <c r="D636" s="191" t="str">
        <f t="shared" si="29"/>
        <v>StrongLumio profil LED Mikro 10 alu anodovaná 2000mm</v>
      </c>
      <c r="E636" s="77" t="s">
        <v>2788</v>
      </c>
      <c r="F636" s="77" t="s">
        <v>2789</v>
      </c>
      <c r="G636" s="77" t="s">
        <v>2791</v>
      </c>
      <c r="H636" s="77" t="s">
        <v>2790</v>
      </c>
      <c r="I636" s="77" t="s">
        <v>795</v>
      </c>
      <c r="J636" s="90">
        <v>50</v>
      </c>
      <c r="K636" s="91">
        <v>1</v>
      </c>
      <c r="L636" s="77" t="s">
        <v>6565</v>
      </c>
      <c r="M636" s="78">
        <v>495.8202</v>
      </c>
      <c r="N636" s="79">
        <v>19.13072</v>
      </c>
      <c r="O636" s="79">
        <v>59.09442</v>
      </c>
      <c r="P636" s="79">
        <v>6911.73</v>
      </c>
      <c r="Q636" s="77"/>
      <c r="R636" s="77"/>
      <c r="S636" s="77"/>
      <c r="T636" s="77"/>
      <c r="U636" s="77"/>
      <c r="V636" s="87"/>
      <c r="W636" s="87"/>
      <c r="X636" s="87"/>
      <c r="Y636" s="77"/>
      <c r="Z636" s="88"/>
      <c r="AA636" s="35"/>
      <c r="AB636" s="35"/>
    </row>
    <row r="637" spans="1:28" x14ac:dyDescent="0.25">
      <c r="A637" s="68" t="str">
        <f t="shared" si="30"/>
        <v>198916</v>
      </c>
      <c r="B637" s="10">
        <f t="shared" si="31"/>
        <v>467.67687999999998</v>
      </c>
      <c r="C637" s="77" t="s">
        <v>5262</v>
      </c>
      <c r="D637" s="191" t="str">
        <f t="shared" si="29"/>
        <v>StrongLumio profil LED Mikro-line 12 alu anodovaný 2000mm</v>
      </c>
      <c r="E637" s="77" t="s">
        <v>2792</v>
      </c>
      <c r="F637" s="77" t="s">
        <v>2793</v>
      </c>
      <c r="G637" s="77" t="s">
        <v>2795</v>
      </c>
      <c r="H637" s="77" t="s">
        <v>2794</v>
      </c>
      <c r="I637" s="77" t="s">
        <v>795</v>
      </c>
      <c r="J637" s="90">
        <v>100</v>
      </c>
      <c r="K637" s="91">
        <v>1</v>
      </c>
      <c r="L637" s="77" t="s">
        <v>160</v>
      </c>
      <c r="M637" s="78">
        <v>467.67687999999998</v>
      </c>
      <c r="N637" s="79">
        <v>17.797750000000001</v>
      </c>
      <c r="O637" s="79">
        <v>66.168040000000005</v>
      </c>
      <c r="P637" s="79">
        <v>6348.0628500000003</v>
      </c>
      <c r="Q637" s="77"/>
      <c r="R637" s="77"/>
      <c r="S637" s="77"/>
      <c r="T637" s="77"/>
      <c r="U637" s="77"/>
      <c r="V637" s="87"/>
      <c r="W637" s="87"/>
      <c r="X637" s="87"/>
      <c r="Y637" s="77"/>
      <c r="Z637" s="88"/>
      <c r="AA637" s="35"/>
      <c r="AB637" s="35"/>
    </row>
    <row r="638" spans="1:28" x14ac:dyDescent="0.25">
      <c r="A638" s="68" t="str">
        <f t="shared" si="30"/>
        <v>342521</v>
      </c>
      <c r="B638" s="10">
        <f t="shared" si="31"/>
        <v>199.61920000000001</v>
      </c>
      <c r="C638" s="77" t="s">
        <v>5263</v>
      </c>
      <c r="D638" s="191" t="str">
        <f t="shared" si="29"/>
        <v>StrongLumio profil led Ormio, 2000mm stříbrná elox</v>
      </c>
      <c r="E638" s="77" t="s">
        <v>2796</v>
      </c>
      <c r="F638" s="77" t="s">
        <v>2797</v>
      </c>
      <c r="G638" s="77" t="s">
        <v>2799</v>
      </c>
      <c r="H638" s="77" t="s">
        <v>2798</v>
      </c>
      <c r="I638" s="77" t="s">
        <v>795</v>
      </c>
      <c r="J638" s="90">
        <v>1</v>
      </c>
      <c r="K638" s="91">
        <v>1</v>
      </c>
      <c r="L638" s="77" t="s">
        <v>227</v>
      </c>
      <c r="M638" s="78">
        <v>199.61920000000001</v>
      </c>
      <c r="N638" s="79">
        <v>7.9613100000000001</v>
      </c>
      <c r="O638" s="79">
        <v>21.346779999999999</v>
      </c>
      <c r="P638" s="79">
        <v>2631.8352199999999</v>
      </c>
      <c r="Q638" s="77"/>
      <c r="R638" s="77"/>
      <c r="S638" s="77"/>
      <c r="T638" s="77"/>
      <c r="U638" s="77"/>
      <c r="V638" s="87"/>
      <c r="W638" s="87"/>
      <c r="X638" s="87"/>
      <c r="Y638" s="77"/>
      <c r="Z638" s="88"/>
      <c r="AA638" s="35"/>
      <c r="AB638" s="35"/>
    </row>
    <row r="639" spans="1:28" x14ac:dyDescent="0.25">
      <c r="A639" s="68" t="str">
        <f t="shared" si="30"/>
        <v>318489</v>
      </c>
      <c r="B639" s="10">
        <f t="shared" si="31"/>
        <v>462.14819999999997</v>
      </c>
      <c r="C639" s="77" t="s">
        <v>5264</v>
      </c>
      <c r="D639" s="191" t="str">
        <f t="shared" si="29"/>
        <v>StrongLumio profil LED Pen 8 alu anodovaný 4050mm</v>
      </c>
      <c r="E639" s="77" t="s">
        <v>2800</v>
      </c>
      <c r="F639" s="77" t="s">
        <v>2801</v>
      </c>
      <c r="G639" s="77" t="s">
        <v>2803</v>
      </c>
      <c r="H639" s="77" t="s">
        <v>2802</v>
      </c>
      <c r="I639" s="77" t="s">
        <v>795</v>
      </c>
      <c r="J639" s="90">
        <v>40</v>
      </c>
      <c r="K639" s="91">
        <v>1</v>
      </c>
      <c r="L639" s="77" t="s">
        <v>6565</v>
      </c>
      <c r="M639" s="78">
        <v>462.14819999999997</v>
      </c>
      <c r="N639" s="79">
        <v>17.831520000000001</v>
      </c>
      <c r="O639" s="79">
        <v>55.081220000000002</v>
      </c>
      <c r="P639" s="79">
        <v>6448.5099899999996</v>
      </c>
      <c r="Q639" s="77"/>
      <c r="R639" s="77"/>
      <c r="S639" s="77"/>
      <c r="T639" s="77"/>
      <c r="U639" s="77"/>
      <c r="V639" s="87"/>
      <c r="W639" s="87"/>
      <c r="X639" s="87"/>
      <c r="Y639" s="77"/>
      <c r="Z639" s="88"/>
      <c r="AA639" s="35"/>
      <c r="AB639" s="35"/>
    </row>
    <row r="640" spans="1:28" x14ac:dyDescent="0.25">
      <c r="A640" s="68" t="str">
        <f t="shared" si="30"/>
        <v>230866</v>
      </c>
      <c r="B640" s="10">
        <f t="shared" si="31"/>
        <v>38.145249999999997</v>
      </c>
      <c r="C640" s="77" t="s">
        <v>5265</v>
      </c>
      <c r="D640" s="191" t="str">
        <f t="shared" si="29"/>
        <v>StrongLumio profil LED Pen 8, 1000mm stříbrná elox</v>
      </c>
      <c r="E640" s="77" t="s">
        <v>2804</v>
      </c>
      <c r="F640" s="77" t="s">
        <v>2805</v>
      </c>
      <c r="G640" s="77" t="s">
        <v>2807</v>
      </c>
      <c r="H640" s="77" t="s">
        <v>2806</v>
      </c>
      <c r="I640" s="77" t="s">
        <v>795</v>
      </c>
      <c r="J640" s="90">
        <v>40</v>
      </c>
      <c r="K640" s="91">
        <v>1</v>
      </c>
      <c r="L640" s="77" t="s">
        <v>227</v>
      </c>
      <c r="M640" s="78">
        <v>38.145249999999997</v>
      </c>
      <c r="N640" s="79">
        <v>1.76176</v>
      </c>
      <c r="O640" s="79">
        <v>10.698219999999999</v>
      </c>
      <c r="P640" s="79">
        <v>607.40844000000004</v>
      </c>
      <c r="Q640" s="77"/>
      <c r="R640" s="77"/>
      <c r="S640" s="77"/>
      <c r="T640" s="77"/>
      <c r="U640" s="77"/>
      <c r="V640" s="87"/>
      <c r="W640" s="87"/>
      <c r="X640" s="87"/>
      <c r="Y640" s="77"/>
      <c r="Z640" s="88"/>
      <c r="AA640" s="35"/>
      <c r="AB640" s="35"/>
    </row>
    <row r="641" spans="1:28" x14ac:dyDescent="0.25">
      <c r="A641" s="68" t="str">
        <f t="shared" si="30"/>
        <v>230867</v>
      </c>
      <c r="B641" s="10">
        <f t="shared" si="31"/>
        <v>217.18440000000001</v>
      </c>
      <c r="C641" s="77" t="s">
        <v>5266</v>
      </c>
      <c r="D641" s="191" t="str">
        <f t="shared" si="29"/>
        <v>StrongLumio profil LED Pen 8, 2000mm stříbrná elox</v>
      </c>
      <c r="E641" s="77" t="s">
        <v>2808</v>
      </c>
      <c r="F641" s="77" t="s">
        <v>2809</v>
      </c>
      <c r="G641" s="77" t="s">
        <v>2811</v>
      </c>
      <c r="H641" s="77" t="s">
        <v>2810</v>
      </c>
      <c r="I641" s="77" t="s">
        <v>795</v>
      </c>
      <c r="J641" s="90">
        <v>40</v>
      </c>
      <c r="K641" s="91">
        <v>1</v>
      </c>
      <c r="L641" s="77" t="s">
        <v>227</v>
      </c>
      <c r="M641" s="78">
        <v>217.18440000000001</v>
      </c>
      <c r="N641" s="79">
        <v>8.3798399999999997</v>
      </c>
      <c r="O641" s="79">
        <v>25.885169999999999</v>
      </c>
      <c r="P641" s="79">
        <v>2925.6</v>
      </c>
      <c r="Q641" s="77"/>
      <c r="R641" s="77"/>
      <c r="S641" s="77"/>
      <c r="T641" s="77"/>
      <c r="U641" s="77"/>
      <c r="V641" s="87"/>
      <c r="W641" s="87"/>
      <c r="X641" s="87"/>
      <c r="Y641" s="77"/>
      <c r="Z641" s="88"/>
      <c r="AA641" s="35"/>
      <c r="AB641" s="35"/>
    </row>
    <row r="642" spans="1:28" x14ac:dyDescent="0.25">
      <c r="A642" s="68" t="str">
        <f t="shared" si="30"/>
        <v>405280</v>
      </c>
      <c r="B642" s="10">
        <f t="shared" si="31"/>
        <v>580.71040000000005</v>
      </c>
      <c r="C642" s="77" t="s">
        <v>5267</v>
      </c>
      <c r="D642" s="191" t="str">
        <f t="shared" si="29"/>
        <v>StrongLumio profil LED Rail, 2000mm stříbrná elox</v>
      </c>
      <c r="E642" s="77" t="s">
        <v>2812</v>
      </c>
      <c r="F642" s="77" t="s">
        <v>2813</v>
      </c>
      <c r="G642" s="77" t="s">
        <v>2815</v>
      </c>
      <c r="H642" s="77" t="s">
        <v>2814</v>
      </c>
      <c r="I642" s="77" t="s">
        <v>795</v>
      </c>
      <c r="J642" s="90">
        <v>1</v>
      </c>
      <c r="K642" s="91">
        <v>1</v>
      </c>
      <c r="L642" s="77" t="s">
        <v>227</v>
      </c>
      <c r="M642" s="78">
        <v>580.71040000000005</v>
      </c>
      <c r="N642" s="79">
        <v>25.000050000000002</v>
      </c>
      <c r="O642" s="79">
        <v>64.660790000000006</v>
      </c>
      <c r="P642" s="79">
        <v>9104.7272799999992</v>
      </c>
      <c r="Q642" s="77"/>
      <c r="R642" s="77"/>
      <c r="S642" s="77"/>
      <c r="T642" s="77"/>
      <c r="U642" s="77"/>
      <c r="V642" s="87"/>
      <c r="W642" s="87"/>
      <c r="X642" s="87"/>
      <c r="Y642" s="77"/>
      <c r="Z642" s="88"/>
      <c r="AA642" s="35"/>
      <c r="AB642" s="35"/>
    </row>
    <row r="643" spans="1:28" x14ac:dyDescent="0.25">
      <c r="A643" s="68" t="str">
        <f t="shared" si="30"/>
        <v>412931</v>
      </c>
      <c r="B643" s="10">
        <f t="shared" si="31"/>
        <v>537.0684</v>
      </c>
      <c r="C643" s="77" t="s">
        <v>5268</v>
      </c>
      <c r="D643" s="191" t="str">
        <f t="shared" ref="D643:D706" si="32">IF($B$1=1,E643,IF($B$1=2,F643,IF($B$1=3,G643,IF($B$1=4,H643))))</f>
        <v>StrongLumio profil LED Slash 8 plast mléčný 4100mm</v>
      </c>
      <c r="E643" s="77" t="s">
        <v>2816</v>
      </c>
      <c r="F643" s="77" t="s">
        <v>2817</v>
      </c>
      <c r="G643" s="77" t="s">
        <v>2819</v>
      </c>
      <c r="H643" s="77" t="s">
        <v>2818</v>
      </c>
      <c r="I643" s="77" t="s">
        <v>795</v>
      </c>
      <c r="J643" s="90">
        <v>20</v>
      </c>
      <c r="K643" s="91">
        <v>1</v>
      </c>
      <c r="L643" s="77" t="s">
        <v>6565</v>
      </c>
      <c r="M643" s="78">
        <v>537.0684</v>
      </c>
      <c r="N643" s="79">
        <v>20.722239999999999</v>
      </c>
      <c r="O643" s="79">
        <v>64.010580000000004</v>
      </c>
      <c r="P643" s="79">
        <v>7484.6600099999996</v>
      </c>
      <c r="Q643" s="77"/>
      <c r="R643" s="77"/>
      <c r="S643" s="77"/>
      <c r="T643" s="77"/>
      <c r="U643" s="77"/>
      <c r="V643" s="87"/>
      <c r="W643" s="87"/>
      <c r="X643" s="87"/>
      <c r="Y643" s="77"/>
      <c r="Z643" s="88"/>
      <c r="AA643" s="35"/>
      <c r="AB643" s="35"/>
    </row>
    <row r="644" spans="1:28" x14ac:dyDescent="0.25">
      <c r="A644" s="68" t="str">
        <f t="shared" si="30"/>
        <v>405268</v>
      </c>
      <c r="B644" s="10">
        <f t="shared" si="31"/>
        <v>139.7388</v>
      </c>
      <c r="C644" s="77" t="s">
        <v>5269</v>
      </c>
      <c r="D644" s="191" t="str">
        <f t="shared" si="32"/>
        <v>StrongLumio profil LED Slash 8, 1000mm plast mléčná</v>
      </c>
      <c r="E644" s="77" t="s">
        <v>2820</v>
      </c>
      <c r="F644" s="77" t="s">
        <v>2821</v>
      </c>
      <c r="G644" s="77" t="s">
        <v>2823</v>
      </c>
      <c r="H644" s="77" t="s">
        <v>2822</v>
      </c>
      <c r="I644" s="77" t="s">
        <v>795</v>
      </c>
      <c r="J644" s="90">
        <v>20</v>
      </c>
      <c r="K644" s="91">
        <v>1</v>
      </c>
      <c r="L644" s="77" t="s">
        <v>227</v>
      </c>
      <c r="M644" s="78">
        <v>139.7388</v>
      </c>
      <c r="N644" s="79">
        <v>5.39168</v>
      </c>
      <c r="O644" s="79">
        <v>16.654789999999998</v>
      </c>
      <c r="P644" s="79">
        <v>1877.25999</v>
      </c>
      <c r="Q644" s="77"/>
      <c r="R644" s="77"/>
      <c r="S644" s="77"/>
      <c r="T644" s="77"/>
      <c r="U644" s="77"/>
      <c r="V644" s="87"/>
      <c r="W644" s="87"/>
      <c r="X644" s="87"/>
      <c r="Y644" s="77"/>
      <c r="Z644" s="88"/>
      <c r="AA644" s="35"/>
      <c r="AB644" s="35"/>
    </row>
    <row r="645" spans="1:28" x14ac:dyDescent="0.25">
      <c r="A645" s="68" t="str">
        <f t="shared" si="30"/>
        <v>405269</v>
      </c>
      <c r="B645" s="10">
        <f t="shared" si="31"/>
        <v>265.16699999999997</v>
      </c>
      <c r="C645" s="77" t="s">
        <v>5270</v>
      </c>
      <c r="D645" s="191" t="str">
        <f t="shared" si="32"/>
        <v>StrongLumio profil LED Slash 8, 2000mm plast mléčná</v>
      </c>
      <c r="E645" s="77" t="s">
        <v>2824</v>
      </c>
      <c r="F645" s="77" t="s">
        <v>2825</v>
      </c>
      <c r="G645" s="77" t="s">
        <v>2827</v>
      </c>
      <c r="H645" s="77" t="s">
        <v>2826</v>
      </c>
      <c r="I645" s="77" t="s">
        <v>795</v>
      </c>
      <c r="J645" s="90">
        <v>20</v>
      </c>
      <c r="K645" s="91">
        <v>1</v>
      </c>
      <c r="L645" s="77" t="s">
        <v>227</v>
      </c>
      <c r="M645" s="78">
        <v>265.16699999999997</v>
      </c>
      <c r="N645" s="79">
        <v>10.231199999999999</v>
      </c>
      <c r="O645" s="79">
        <v>31.60397</v>
      </c>
      <c r="P645" s="79">
        <v>3559.4799899999998</v>
      </c>
      <c r="Q645" s="77"/>
      <c r="R645" s="77"/>
      <c r="S645" s="77"/>
      <c r="T645" s="77"/>
      <c r="U645" s="77"/>
      <c r="V645" s="87"/>
      <c r="W645" s="87"/>
      <c r="X645" s="87"/>
      <c r="Y645" s="77"/>
      <c r="Z645" s="88"/>
      <c r="AA645" s="35"/>
      <c r="AB645" s="35"/>
    </row>
    <row r="646" spans="1:28" x14ac:dyDescent="0.25">
      <c r="A646" s="68" t="str">
        <f t="shared" si="30"/>
        <v>405270</v>
      </c>
      <c r="B646" s="10">
        <f t="shared" si="31"/>
        <v>423.42540000000002</v>
      </c>
      <c r="C646" s="77" t="s">
        <v>5271</v>
      </c>
      <c r="D646" s="191" t="str">
        <f t="shared" si="32"/>
        <v>StrongLumio profil LED Slash 8, 3000mm plast mléčná</v>
      </c>
      <c r="E646" s="77" t="s">
        <v>2828</v>
      </c>
      <c r="F646" s="77" t="s">
        <v>2829</v>
      </c>
      <c r="G646" s="77" t="s">
        <v>2831</v>
      </c>
      <c r="H646" s="77" t="s">
        <v>2830</v>
      </c>
      <c r="I646" s="77" t="s">
        <v>795</v>
      </c>
      <c r="J646" s="90">
        <v>20</v>
      </c>
      <c r="K646" s="91">
        <v>1</v>
      </c>
      <c r="L646" s="77" t="s">
        <v>227</v>
      </c>
      <c r="M646" s="78">
        <v>423.42540000000002</v>
      </c>
      <c r="N646" s="79">
        <v>16.337440000000001</v>
      </c>
      <c r="O646" s="79">
        <v>61.915999999999997</v>
      </c>
      <c r="P646" s="79">
        <v>5680.5399900000002</v>
      </c>
      <c r="Q646" s="77"/>
      <c r="R646" s="77"/>
      <c r="S646" s="77"/>
      <c r="T646" s="77"/>
      <c r="U646" s="77"/>
      <c r="V646" s="87"/>
      <c r="W646" s="87"/>
      <c r="X646" s="87"/>
      <c r="Y646" s="77"/>
      <c r="Z646" s="88"/>
      <c r="AA646" s="35"/>
      <c r="AB646" s="35"/>
    </row>
    <row r="647" spans="1:28" x14ac:dyDescent="0.25">
      <c r="A647" s="68" t="str">
        <f t="shared" si="30"/>
        <v>315779</v>
      </c>
      <c r="B647" s="10">
        <f t="shared" si="31"/>
        <v>436.05239999999998</v>
      </c>
      <c r="C647" s="77" t="s">
        <v>5272</v>
      </c>
      <c r="D647" s="191" t="str">
        <f t="shared" si="32"/>
        <v>StrongLumio profil LED Slim 8 alu černá 3000mm</v>
      </c>
      <c r="E647" s="77" t="s">
        <v>2832</v>
      </c>
      <c r="F647" s="77" t="s">
        <v>2833</v>
      </c>
      <c r="G647" s="77" t="s">
        <v>2835</v>
      </c>
      <c r="H647" s="77" t="s">
        <v>2834</v>
      </c>
      <c r="I647" s="77" t="s">
        <v>795</v>
      </c>
      <c r="J647" s="90">
        <v>10</v>
      </c>
      <c r="K647" s="91">
        <v>1</v>
      </c>
      <c r="L647" s="77" t="s">
        <v>6565</v>
      </c>
      <c r="M647" s="78">
        <v>436.05239999999998</v>
      </c>
      <c r="N647" s="79">
        <v>16.824639999999999</v>
      </c>
      <c r="O647" s="79">
        <v>65.816900000000004</v>
      </c>
      <c r="P647" s="79">
        <v>6070.62</v>
      </c>
      <c r="Q647" s="77"/>
      <c r="R647" s="77"/>
      <c r="S647" s="77"/>
      <c r="T647" s="77"/>
      <c r="U647" s="77"/>
      <c r="V647" s="87"/>
      <c r="W647" s="87"/>
      <c r="X647" s="87"/>
      <c r="Y647" s="77"/>
      <c r="Z647" s="88"/>
      <c r="AA647" s="35"/>
      <c r="AB647" s="35"/>
    </row>
    <row r="648" spans="1:28" x14ac:dyDescent="0.25">
      <c r="A648" s="68" t="str">
        <f t="shared" si="30"/>
        <v>529699</v>
      </c>
      <c r="B648" s="10">
        <f t="shared" si="31"/>
        <v>222.23519999999999</v>
      </c>
      <c r="C648" s="77" t="s">
        <v>5273</v>
      </c>
      <c r="D648" s="191" t="str">
        <f t="shared" si="32"/>
        <v>StrongLumio profil LED Slim 8 alu surový 3000mm</v>
      </c>
      <c r="E648" s="77" t="s">
        <v>2836</v>
      </c>
      <c r="F648" s="77" t="s">
        <v>2836</v>
      </c>
      <c r="G648" s="77" t="s">
        <v>2838</v>
      </c>
      <c r="H648" s="77" t="s">
        <v>2837</v>
      </c>
      <c r="I648" s="77" t="s">
        <v>795</v>
      </c>
      <c r="J648" s="90">
        <v>40</v>
      </c>
      <c r="K648" s="91">
        <v>40</v>
      </c>
      <c r="L648" s="77" t="s">
        <v>6565</v>
      </c>
      <c r="M648" s="78">
        <v>222.23519999999999</v>
      </c>
      <c r="N648" s="79">
        <v>8.5747199999999992</v>
      </c>
      <c r="O648" s="79">
        <v>27.067340000000002</v>
      </c>
      <c r="P648" s="79">
        <v>3096.26001</v>
      </c>
      <c r="Q648" s="77"/>
      <c r="R648" s="77"/>
      <c r="S648" s="77"/>
      <c r="T648" s="77"/>
      <c r="U648" s="77"/>
      <c r="V648" s="87"/>
      <c r="W648" s="87"/>
      <c r="X648" s="87"/>
      <c r="Y648" s="77"/>
      <c r="Z648" s="88"/>
      <c r="AA648" s="35"/>
      <c r="AB648" s="35"/>
    </row>
    <row r="649" spans="1:28" x14ac:dyDescent="0.25">
      <c r="A649" s="68" t="str">
        <f t="shared" si="30"/>
        <v>529700</v>
      </c>
      <c r="B649" s="10">
        <f t="shared" si="31"/>
        <v>290.42099999999999</v>
      </c>
      <c r="C649" s="77" t="s">
        <v>5274</v>
      </c>
      <c r="D649" s="191" t="str">
        <f t="shared" si="32"/>
        <v>StrongLumio profil LED Slim 8 alu surový 4050mm</v>
      </c>
      <c r="E649" s="77" t="s">
        <v>2839</v>
      </c>
      <c r="F649" s="77" t="s">
        <v>2839</v>
      </c>
      <c r="G649" s="77" t="s">
        <v>2841</v>
      </c>
      <c r="H649" s="77" t="s">
        <v>2840</v>
      </c>
      <c r="I649" s="77" t="s">
        <v>795</v>
      </c>
      <c r="J649" s="90">
        <v>40</v>
      </c>
      <c r="K649" s="91">
        <v>40</v>
      </c>
      <c r="L649" s="77" t="s">
        <v>6565</v>
      </c>
      <c r="M649" s="78">
        <v>290.42099999999999</v>
      </c>
      <c r="N649" s="79">
        <v>11.2056</v>
      </c>
      <c r="O649" s="79">
        <v>34.613880000000002</v>
      </c>
      <c r="P649" s="79">
        <v>4047.0800100000001</v>
      </c>
      <c r="Q649" s="77"/>
      <c r="R649" s="77"/>
      <c r="S649" s="77"/>
      <c r="T649" s="77"/>
      <c r="U649" s="77"/>
      <c r="V649" s="87"/>
      <c r="W649" s="87"/>
      <c r="X649" s="87"/>
      <c r="Y649" s="77"/>
      <c r="Z649" s="88"/>
      <c r="AA649" s="35"/>
      <c r="AB649" s="35"/>
    </row>
    <row r="650" spans="1:28" x14ac:dyDescent="0.25">
      <c r="A650" s="68" t="str">
        <f t="shared" si="30"/>
        <v>215825</v>
      </c>
      <c r="B650" s="10">
        <f t="shared" si="31"/>
        <v>107.1648</v>
      </c>
      <c r="C650" s="77" t="s">
        <v>5275</v>
      </c>
      <c r="D650" s="191" t="str">
        <f t="shared" si="32"/>
        <v>StrongLumio profil LED Slim 8, 1000mm stříbrná elox</v>
      </c>
      <c r="E650" s="77" t="s">
        <v>2842</v>
      </c>
      <c r="F650" s="77" t="s">
        <v>2843</v>
      </c>
      <c r="G650" s="77" t="s">
        <v>2845</v>
      </c>
      <c r="H650" s="77" t="s">
        <v>2844</v>
      </c>
      <c r="I650" s="77" t="s">
        <v>795</v>
      </c>
      <c r="J650" s="90">
        <v>40</v>
      </c>
      <c r="K650" s="91">
        <v>1</v>
      </c>
      <c r="L650" s="77" t="s">
        <v>6565</v>
      </c>
      <c r="M650" s="78">
        <v>107.1648</v>
      </c>
      <c r="N650" s="79">
        <v>4.1249599999999997</v>
      </c>
      <c r="O650" s="79">
        <v>12.74192</v>
      </c>
      <c r="P650" s="79">
        <v>1474.4897100000001</v>
      </c>
      <c r="Q650" s="77"/>
      <c r="R650" s="77"/>
      <c r="S650" s="77"/>
      <c r="T650" s="77"/>
      <c r="U650" s="77"/>
      <c r="V650" s="87"/>
      <c r="W650" s="87"/>
      <c r="X650" s="87"/>
      <c r="Y650" s="77"/>
      <c r="Z650" s="88"/>
      <c r="AA650" s="35"/>
      <c r="AB650" s="35"/>
    </row>
    <row r="651" spans="1:28" x14ac:dyDescent="0.25">
      <c r="A651" s="68" t="str">
        <f t="shared" si="30"/>
        <v>285027</v>
      </c>
      <c r="B651" s="10">
        <f t="shared" si="31"/>
        <v>268.5342</v>
      </c>
      <c r="C651" s="77" t="s">
        <v>5276</v>
      </c>
      <c r="D651" s="191" t="str">
        <f t="shared" si="32"/>
        <v>StrongLumio profil LED Slim 8, 2000mm bílá lak</v>
      </c>
      <c r="E651" s="77" t="s">
        <v>2846</v>
      </c>
      <c r="F651" s="77" t="s">
        <v>2847</v>
      </c>
      <c r="G651" s="77" t="s">
        <v>2849</v>
      </c>
      <c r="H651" s="77" t="s">
        <v>2848</v>
      </c>
      <c r="I651" s="77" t="s">
        <v>795</v>
      </c>
      <c r="J651" s="90">
        <v>100</v>
      </c>
      <c r="K651" s="91">
        <v>1</v>
      </c>
      <c r="L651" s="77" t="s">
        <v>227</v>
      </c>
      <c r="M651" s="78">
        <v>268.5342</v>
      </c>
      <c r="N651" s="79">
        <v>10.36112</v>
      </c>
      <c r="O651" s="79">
        <v>32.005299999999998</v>
      </c>
      <c r="P651" s="79">
        <v>3608.24001</v>
      </c>
      <c r="Q651" s="77"/>
      <c r="R651" s="77"/>
      <c r="S651" s="77"/>
      <c r="T651" s="77"/>
      <c r="U651" s="77"/>
      <c r="V651" s="87"/>
      <c r="W651" s="87"/>
      <c r="X651" s="87"/>
      <c r="Y651" s="77"/>
      <c r="Z651" s="88"/>
      <c r="AA651" s="35"/>
      <c r="AB651" s="35"/>
    </row>
    <row r="652" spans="1:28" x14ac:dyDescent="0.25">
      <c r="A652" s="68" t="str">
        <f t="shared" si="30"/>
        <v>285028</v>
      </c>
      <c r="B652" s="10">
        <f t="shared" si="31"/>
        <v>271.90140000000002</v>
      </c>
      <c r="C652" s="77" t="s">
        <v>5277</v>
      </c>
      <c r="D652" s="191" t="str">
        <f t="shared" si="32"/>
        <v>StrongLumio profil LED Slim 8, 2000mm černá elox</v>
      </c>
      <c r="E652" s="77" t="s">
        <v>2850</v>
      </c>
      <c r="F652" s="77" t="s">
        <v>2851</v>
      </c>
      <c r="G652" s="77" t="s">
        <v>2853</v>
      </c>
      <c r="H652" s="77" t="s">
        <v>2852</v>
      </c>
      <c r="I652" s="77" t="s">
        <v>795</v>
      </c>
      <c r="J652" s="90">
        <v>100</v>
      </c>
      <c r="K652" s="91">
        <v>1</v>
      </c>
      <c r="L652" s="77" t="s">
        <v>227</v>
      </c>
      <c r="M652" s="78">
        <v>271.90140000000002</v>
      </c>
      <c r="N652" s="79">
        <v>10.49104</v>
      </c>
      <c r="O652" s="79">
        <v>32.406610000000001</v>
      </c>
      <c r="P652" s="79">
        <v>3657</v>
      </c>
      <c r="Q652" s="77"/>
      <c r="R652" s="77"/>
      <c r="S652" s="77"/>
      <c r="T652" s="77"/>
      <c r="U652" s="77"/>
      <c r="V652" s="87"/>
      <c r="W652" s="87"/>
      <c r="X652" s="87"/>
      <c r="Y652" s="77"/>
      <c r="Z652" s="88"/>
      <c r="AA652" s="35"/>
      <c r="AB652" s="35"/>
    </row>
    <row r="653" spans="1:28" x14ac:dyDescent="0.25">
      <c r="A653" s="68" t="str">
        <f t="shared" si="30"/>
        <v>215826</v>
      </c>
      <c r="B653" s="10">
        <f t="shared" si="31"/>
        <v>212.1336</v>
      </c>
      <c r="C653" s="77" t="s">
        <v>5278</v>
      </c>
      <c r="D653" s="191" t="str">
        <f t="shared" si="32"/>
        <v>StrongLumio profil LED Slim 8, 2000mm stříbrná elox</v>
      </c>
      <c r="E653" s="77" t="s">
        <v>2854</v>
      </c>
      <c r="F653" s="77" t="s">
        <v>2855</v>
      </c>
      <c r="G653" s="77" t="s">
        <v>2857</v>
      </c>
      <c r="H653" s="77" t="s">
        <v>2856</v>
      </c>
      <c r="I653" s="77" t="s">
        <v>795</v>
      </c>
      <c r="J653" s="90">
        <v>40</v>
      </c>
      <c r="K653" s="91">
        <v>1</v>
      </c>
      <c r="L653" s="77" t="s">
        <v>227</v>
      </c>
      <c r="M653" s="78">
        <v>212.1336</v>
      </c>
      <c r="N653" s="79">
        <v>8.1849600000000002</v>
      </c>
      <c r="O653" s="79">
        <v>25.283180000000002</v>
      </c>
      <c r="P653" s="79">
        <v>2852.46</v>
      </c>
      <c r="Q653" s="77"/>
      <c r="R653" s="77"/>
      <c r="S653" s="77"/>
      <c r="T653" s="77"/>
      <c r="U653" s="77"/>
      <c r="V653" s="87"/>
      <c r="W653" s="87"/>
      <c r="X653" s="87"/>
      <c r="Y653" s="77"/>
      <c r="Z653" s="88"/>
      <c r="AA653" s="35"/>
      <c r="AB653" s="35"/>
    </row>
    <row r="654" spans="1:28" x14ac:dyDescent="0.25">
      <c r="A654" s="68" t="str">
        <f t="shared" si="30"/>
        <v>285029</v>
      </c>
      <c r="B654" s="10">
        <f t="shared" si="31"/>
        <v>334.19459999999998</v>
      </c>
      <c r="C654" s="77" t="s">
        <v>5279</v>
      </c>
      <c r="D654" s="191" t="str">
        <f t="shared" si="32"/>
        <v>StrongLumio profil LED Slim 8, 3000mm stříbrná elox</v>
      </c>
      <c r="E654" s="77" t="s">
        <v>2858</v>
      </c>
      <c r="F654" s="77" t="s">
        <v>2859</v>
      </c>
      <c r="G654" s="77" t="s">
        <v>2861</v>
      </c>
      <c r="H654" s="77" t="s">
        <v>2860</v>
      </c>
      <c r="I654" s="77" t="s">
        <v>795</v>
      </c>
      <c r="J654" s="90">
        <v>40</v>
      </c>
      <c r="K654" s="91">
        <v>1</v>
      </c>
      <c r="L654" s="77" t="s">
        <v>227</v>
      </c>
      <c r="M654" s="78">
        <v>334.19459999999998</v>
      </c>
      <c r="N654" s="79">
        <v>12.89456</v>
      </c>
      <c r="O654" s="79">
        <v>39.831040000000002</v>
      </c>
      <c r="P654" s="79">
        <v>4485.9200099999998</v>
      </c>
      <c r="Q654" s="77"/>
      <c r="R654" s="77"/>
      <c r="S654" s="77"/>
      <c r="T654" s="77"/>
      <c r="U654" s="77"/>
      <c r="V654" s="87"/>
      <c r="W654" s="87"/>
      <c r="X654" s="87"/>
      <c r="Y654" s="77"/>
      <c r="Z654" s="88"/>
      <c r="AA654" s="35"/>
      <c r="AB654" s="35"/>
    </row>
    <row r="655" spans="1:28" x14ac:dyDescent="0.25">
      <c r="A655" s="68" t="str">
        <f t="shared" si="30"/>
        <v>285049</v>
      </c>
      <c r="B655" s="10">
        <f t="shared" si="31"/>
        <v>329.1438</v>
      </c>
      <c r="C655" s="77" t="s">
        <v>5280</v>
      </c>
      <c r="D655" s="191" t="str">
        <f t="shared" si="32"/>
        <v>StrongLumio profil LED Smart 10, 2000mm bílá lak</v>
      </c>
      <c r="E655" s="77" t="s">
        <v>2862</v>
      </c>
      <c r="F655" s="77" t="s">
        <v>2863</v>
      </c>
      <c r="G655" s="77" t="s">
        <v>2865</v>
      </c>
      <c r="H655" s="77" t="s">
        <v>2864</v>
      </c>
      <c r="I655" s="77" t="s">
        <v>795</v>
      </c>
      <c r="J655" s="90">
        <v>50</v>
      </c>
      <c r="K655" s="91">
        <v>1</v>
      </c>
      <c r="L655" s="77" t="s">
        <v>227</v>
      </c>
      <c r="M655" s="78">
        <v>329.1438</v>
      </c>
      <c r="N655" s="79">
        <v>12.699680000000001</v>
      </c>
      <c r="O655" s="79">
        <v>39.229050000000001</v>
      </c>
      <c r="P655" s="79">
        <v>4412.7800100000004</v>
      </c>
      <c r="Q655" s="77"/>
      <c r="R655" s="77"/>
      <c r="S655" s="77"/>
      <c r="T655" s="77"/>
      <c r="U655" s="77"/>
      <c r="V655" s="87"/>
      <c r="W655" s="87"/>
      <c r="X655" s="87"/>
      <c r="Y655" s="77"/>
      <c r="Z655" s="88"/>
      <c r="AA655" s="35"/>
      <c r="AB655" s="35"/>
    </row>
    <row r="656" spans="1:28" x14ac:dyDescent="0.25">
      <c r="A656" s="68" t="str">
        <f t="shared" si="30"/>
        <v>285050</v>
      </c>
      <c r="B656" s="10">
        <f t="shared" si="31"/>
        <v>340.92899999999997</v>
      </c>
      <c r="C656" s="77" t="s">
        <v>5281</v>
      </c>
      <c r="D656" s="191" t="str">
        <f t="shared" si="32"/>
        <v>StrongLumio profil LED Smart 10, 2000mm černá elox</v>
      </c>
      <c r="E656" s="77" t="s">
        <v>2866</v>
      </c>
      <c r="F656" s="77" t="s">
        <v>2867</v>
      </c>
      <c r="G656" s="77" t="s">
        <v>2869</v>
      </c>
      <c r="H656" s="77" t="s">
        <v>2868</v>
      </c>
      <c r="I656" s="77" t="s">
        <v>795</v>
      </c>
      <c r="J656" s="90">
        <v>50</v>
      </c>
      <c r="K656" s="91">
        <v>1</v>
      </c>
      <c r="L656" s="77" t="s">
        <v>227</v>
      </c>
      <c r="M656" s="78">
        <v>340.92899999999997</v>
      </c>
      <c r="N656" s="79">
        <v>13.154400000000001</v>
      </c>
      <c r="O656" s="79">
        <v>40.633679999999998</v>
      </c>
      <c r="P656" s="79">
        <v>4583.4399899999999</v>
      </c>
      <c r="Q656" s="77"/>
      <c r="R656" s="77"/>
      <c r="S656" s="77"/>
      <c r="T656" s="77"/>
      <c r="U656" s="77"/>
      <c r="V656" s="87"/>
      <c r="W656" s="87"/>
      <c r="X656" s="87"/>
      <c r="Y656" s="77"/>
      <c r="Z656" s="88"/>
      <c r="AA656" s="35"/>
      <c r="AB656" s="35"/>
    </row>
    <row r="657" spans="1:28" x14ac:dyDescent="0.25">
      <c r="A657" s="68" t="str">
        <f t="shared" si="30"/>
        <v>285048</v>
      </c>
      <c r="B657" s="10">
        <f t="shared" si="31"/>
        <v>254.2236</v>
      </c>
      <c r="C657" s="77" t="s">
        <v>5282</v>
      </c>
      <c r="D657" s="191" t="str">
        <f t="shared" si="32"/>
        <v>StrongLumio profil LED Smart 10, 2000mm stříbrná elox</v>
      </c>
      <c r="E657" s="77" t="s">
        <v>2870</v>
      </c>
      <c r="F657" s="77" t="s">
        <v>2871</v>
      </c>
      <c r="G657" s="77" t="s">
        <v>2873</v>
      </c>
      <c r="H657" s="77" t="s">
        <v>2872</v>
      </c>
      <c r="I657" s="77" t="s">
        <v>795</v>
      </c>
      <c r="J657" s="90">
        <v>40</v>
      </c>
      <c r="K657" s="91">
        <v>1</v>
      </c>
      <c r="L657" s="77" t="s">
        <v>227</v>
      </c>
      <c r="M657" s="78">
        <v>254.2236</v>
      </c>
      <c r="N657" s="79">
        <v>9.8089600000000008</v>
      </c>
      <c r="O657" s="79">
        <v>30.299679999999999</v>
      </c>
      <c r="P657" s="79">
        <v>3413.1999900000001</v>
      </c>
      <c r="Q657" s="77"/>
      <c r="R657" s="77"/>
      <c r="S657" s="77"/>
      <c r="T657" s="77"/>
      <c r="U657" s="77"/>
      <c r="V657" s="87"/>
      <c r="W657" s="87"/>
      <c r="X657" s="87"/>
      <c r="Y657" s="77"/>
      <c r="Z657" s="88"/>
      <c r="AA657" s="35"/>
      <c r="AB657" s="35"/>
    </row>
    <row r="658" spans="1:28" x14ac:dyDescent="0.25">
      <c r="A658" s="68" t="str">
        <f t="shared" si="30"/>
        <v>285051</v>
      </c>
      <c r="B658" s="10">
        <f t="shared" si="31"/>
        <v>406.58940000000001</v>
      </c>
      <c r="C658" s="77" t="s">
        <v>5283</v>
      </c>
      <c r="D658" s="191" t="str">
        <f t="shared" si="32"/>
        <v>StrongLumio profil LED Smart 10, 3000mm stříbrná elox</v>
      </c>
      <c r="E658" s="77" t="s">
        <v>2874</v>
      </c>
      <c r="F658" s="77" t="s">
        <v>2875</v>
      </c>
      <c r="G658" s="77" t="s">
        <v>2877</v>
      </c>
      <c r="H658" s="77" t="s">
        <v>2876</v>
      </c>
      <c r="I658" s="77" t="s">
        <v>795</v>
      </c>
      <c r="J658" s="90">
        <v>40</v>
      </c>
      <c r="K658" s="91">
        <v>1</v>
      </c>
      <c r="L658" s="77" t="s">
        <v>227</v>
      </c>
      <c r="M658" s="78">
        <v>406.58940000000001</v>
      </c>
      <c r="N658" s="79">
        <v>15.68784</v>
      </c>
      <c r="O658" s="79">
        <v>61.580779999999997</v>
      </c>
      <c r="P658" s="79">
        <v>5461.1199900000001</v>
      </c>
      <c r="Q658" s="77"/>
      <c r="R658" s="77"/>
      <c r="S658" s="77"/>
      <c r="T658" s="77"/>
      <c r="U658" s="77"/>
      <c r="V658" s="87"/>
      <c r="W658" s="87"/>
      <c r="X658" s="87"/>
      <c r="Y658" s="77"/>
      <c r="Z658" s="88"/>
      <c r="AA658" s="35"/>
      <c r="AB658" s="35"/>
    </row>
    <row r="659" spans="1:28" x14ac:dyDescent="0.25">
      <c r="A659" s="68" t="str">
        <f t="shared" si="30"/>
        <v>367598</v>
      </c>
      <c r="B659" s="10">
        <f t="shared" si="31"/>
        <v>233.17859999999999</v>
      </c>
      <c r="C659" s="77" t="s">
        <v>5284</v>
      </c>
      <c r="D659" s="191" t="str">
        <f t="shared" si="32"/>
        <v>StrongLumio profil LED Smart 16 alu anodovaný 1000mm</v>
      </c>
      <c r="E659" s="77" t="s">
        <v>2878</v>
      </c>
      <c r="F659" s="77" t="s">
        <v>2879</v>
      </c>
      <c r="G659" s="77" t="s">
        <v>6468</v>
      </c>
      <c r="H659" s="77" t="s">
        <v>2880</v>
      </c>
      <c r="I659" s="77" t="s">
        <v>795</v>
      </c>
      <c r="J659" s="90">
        <v>40</v>
      </c>
      <c r="K659" s="91">
        <v>1</v>
      </c>
      <c r="L659" s="77" t="s">
        <v>6565</v>
      </c>
      <c r="M659" s="78">
        <v>233.17859999999999</v>
      </c>
      <c r="N659" s="79">
        <v>8.9969599999999996</v>
      </c>
      <c r="O659" s="79">
        <v>27.791419999999999</v>
      </c>
      <c r="P659" s="79">
        <v>3254.73</v>
      </c>
      <c r="Q659" s="77"/>
      <c r="R659" s="77"/>
      <c r="S659" s="77"/>
      <c r="T659" s="77"/>
      <c r="U659" s="77"/>
      <c r="V659" s="87"/>
      <c r="W659" s="87"/>
      <c r="X659" s="87"/>
      <c r="Y659" s="77"/>
      <c r="Z659" s="88"/>
      <c r="AA659" s="35"/>
      <c r="AB659" s="35"/>
    </row>
    <row r="660" spans="1:28" x14ac:dyDescent="0.25">
      <c r="A660" s="68" t="str">
        <f t="shared" si="30"/>
        <v>367595</v>
      </c>
      <c r="B660" s="10">
        <f t="shared" si="31"/>
        <v>484.03500000000003</v>
      </c>
      <c r="C660" s="77" t="s">
        <v>5285</v>
      </c>
      <c r="D660" s="191" t="str">
        <f t="shared" si="32"/>
        <v>StrongLumio profil LED Smart 16 alu anodovaný 2000mm</v>
      </c>
      <c r="E660" s="77" t="s">
        <v>2881</v>
      </c>
      <c r="F660" s="77" t="s">
        <v>2882</v>
      </c>
      <c r="G660" s="77" t="s">
        <v>6469</v>
      </c>
      <c r="H660" s="77" t="s">
        <v>2883</v>
      </c>
      <c r="I660" s="77" t="s">
        <v>795</v>
      </c>
      <c r="J660" s="90">
        <v>40</v>
      </c>
      <c r="K660" s="91">
        <v>1</v>
      </c>
      <c r="L660" s="77" t="s">
        <v>6565</v>
      </c>
      <c r="M660" s="78">
        <v>484.03500000000003</v>
      </c>
      <c r="N660" s="79">
        <v>18.675999999999998</v>
      </c>
      <c r="O660" s="79">
        <v>57.689790000000002</v>
      </c>
      <c r="P660" s="79">
        <v>6741.06999</v>
      </c>
      <c r="Q660" s="77"/>
      <c r="R660" s="77"/>
      <c r="S660" s="77"/>
      <c r="T660" s="77"/>
      <c r="U660" s="77"/>
      <c r="V660" s="87"/>
      <c r="W660" s="87"/>
      <c r="X660" s="87"/>
      <c r="Y660" s="77"/>
      <c r="Z660" s="88"/>
      <c r="AA660" s="35"/>
      <c r="AB660" s="35"/>
    </row>
    <row r="661" spans="1:28" x14ac:dyDescent="0.25">
      <c r="A661" s="68" t="str">
        <f t="shared" si="30"/>
        <v>367599</v>
      </c>
      <c r="B661" s="10">
        <f t="shared" si="31"/>
        <v>359.4486</v>
      </c>
      <c r="C661" s="77" t="s">
        <v>5286</v>
      </c>
      <c r="D661" s="191" t="str">
        <f t="shared" si="32"/>
        <v>StrongLumio profil LED Smart 16 alu bílý 1000mm</v>
      </c>
      <c r="E661" s="77" t="s">
        <v>2884</v>
      </c>
      <c r="F661" s="77" t="s">
        <v>2885</v>
      </c>
      <c r="G661" s="77" t="s">
        <v>6470</v>
      </c>
      <c r="H661" s="77" t="s">
        <v>2886</v>
      </c>
      <c r="I661" s="77" t="s">
        <v>795</v>
      </c>
      <c r="J661" s="90">
        <v>30</v>
      </c>
      <c r="K661" s="91">
        <v>1</v>
      </c>
      <c r="L661" s="77" t="s">
        <v>6565</v>
      </c>
      <c r="M661" s="78">
        <v>359.4486</v>
      </c>
      <c r="N661" s="79">
        <v>13.86896</v>
      </c>
      <c r="O661" s="79">
        <v>42.840949999999999</v>
      </c>
      <c r="P661" s="79">
        <v>5010.09</v>
      </c>
      <c r="Q661" s="77"/>
      <c r="R661" s="77"/>
      <c r="S661" s="77"/>
      <c r="T661" s="77"/>
      <c r="U661" s="77"/>
      <c r="V661" s="87"/>
      <c r="W661" s="87"/>
      <c r="X661" s="87"/>
      <c r="Y661" s="77"/>
      <c r="Z661" s="88"/>
      <c r="AA661" s="35"/>
      <c r="AB661" s="35"/>
    </row>
    <row r="662" spans="1:28" x14ac:dyDescent="0.25">
      <c r="A662" s="68" t="str">
        <f t="shared" si="30"/>
        <v>367596</v>
      </c>
      <c r="B662" s="10">
        <f t="shared" si="31"/>
        <v>710.47919999999999</v>
      </c>
      <c r="C662" s="77" t="s">
        <v>5287</v>
      </c>
      <c r="D662" s="191" t="str">
        <f t="shared" si="32"/>
        <v>StrongLumio profil LED Smart 16 alu bílý 2000mm</v>
      </c>
      <c r="E662" s="77" t="s">
        <v>2887</v>
      </c>
      <c r="F662" s="77" t="s">
        <v>2888</v>
      </c>
      <c r="G662" s="77" t="s">
        <v>6471</v>
      </c>
      <c r="H662" s="77" t="s">
        <v>2889</v>
      </c>
      <c r="I662" s="77" t="s">
        <v>795</v>
      </c>
      <c r="J662" s="90">
        <v>30</v>
      </c>
      <c r="K662" s="91">
        <v>1</v>
      </c>
      <c r="L662" s="77" t="s">
        <v>6565</v>
      </c>
      <c r="M662" s="78">
        <v>710.47919999999999</v>
      </c>
      <c r="N662" s="79">
        <v>27.413119999999999</v>
      </c>
      <c r="O662" s="79">
        <v>84.678569999999993</v>
      </c>
      <c r="P662" s="79">
        <v>9910.4699999999993</v>
      </c>
      <c r="Q662" s="77"/>
      <c r="R662" s="77"/>
      <c r="S662" s="77"/>
      <c r="T662" s="77"/>
      <c r="U662" s="77"/>
      <c r="V662" s="87"/>
      <c r="W662" s="87"/>
      <c r="X662" s="87"/>
      <c r="Y662" s="77"/>
      <c r="Z662" s="88"/>
      <c r="AA662" s="35"/>
      <c r="AB662" s="35"/>
    </row>
    <row r="663" spans="1:28" x14ac:dyDescent="0.25">
      <c r="A663" s="68" t="str">
        <f t="shared" si="30"/>
        <v>367600</v>
      </c>
      <c r="B663" s="10">
        <f t="shared" si="31"/>
        <v>308.09879999999998</v>
      </c>
      <c r="C663" s="77" t="s">
        <v>5288</v>
      </c>
      <c r="D663" s="191" t="str">
        <f t="shared" si="32"/>
        <v>StrongLumio profil LED Smart 16 alu černý 1000mm</v>
      </c>
      <c r="E663" s="77" t="s">
        <v>2890</v>
      </c>
      <c r="F663" s="77" t="s">
        <v>2891</v>
      </c>
      <c r="G663" s="77" t="s">
        <v>6472</v>
      </c>
      <c r="H663" s="77" t="s">
        <v>2892</v>
      </c>
      <c r="I663" s="77" t="s">
        <v>795</v>
      </c>
      <c r="J663" s="90">
        <v>30</v>
      </c>
      <c r="K663" s="91">
        <v>1</v>
      </c>
      <c r="L663" s="77" t="s">
        <v>6565</v>
      </c>
      <c r="M663" s="78">
        <v>308.09879999999998</v>
      </c>
      <c r="N663" s="79">
        <v>11.88768</v>
      </c>
      <c r="O663" s="79">
        <v>36.72081</v>
      </c>
      <c r="P663" s="79">
        <v>4290.8799900000004</v>
      </c>
      <c r="Q663" s="77"/>
      <c r="R663" s="77"/>
      <c r="S663" s="77"/>
      <c r="T663" s="77"/>
      <c r="U663" s="77"/>
      <c r="V663" s="87"/>
      <c r="W663" s="87"/>
      <c r="X663" s="87"/>
      <c r="Y663" s="77"/>
      <c r="Z663" s="88"/>
      <c r="AA663" s="35"/>
      <c r="AB663" s="35"/>
    </row>
    <row r="664" spans="1:28" x14ac:dyDescent="0.25">
      <c r="A664" s="68" t="str">
        <f t="shared" si="30"/>
        <v>367597</v>
      </c>
      <c r="B664" s="10">
        <f t="shared" si="31"/>
        <v>590.10180000000003</v>
      </c>
      <c r="C664" s="77" t="s">
        <v>5289</v>
      </c>
      <c r="D664" s="191" t="str">
        <f t="shared" si="32"/>
        <v>StrongLumio profil LED Smart 16 alu černý 2000mm</v>
      </c>
      <c r="E664" s="77" t="s">
        <v>2893</v>
      </c>
      <c r="F664" s="77" t="s">
        <v>2894</v>
      </c>
      <c r="G664" s="77" t="s">
        <v>6473</v>
      </c>
      <c r="H664" s="77" t="s">
        <v>2895</v>
      </c>
      <c r="I664" s="77" t="s">
        <v>795</v>
      </c>
      <c r="J664" s="90">
        <v>30</v>
      </c>
      <c r="K664" s="91">
        <v>1</v>
      </c>
      <c r="L664" s="77" t="s">
        <v>6565</v>
      </c>
      <c r="M664" s="78">
        <v>590.10180000000003</v>
      </c>
      <c r="N664" s="79">
        <v>22.76848</v>
      </c>
      <c r="O664" s="79">
        <v>70.331370000000007</v>
      </c>
      <c r="P664" s="79">
        <v>8228.25</v>
      </c>
      <c r="Q664" s="77"/>
      <c r="R664" s="77"/>
      <c r="S664" s="77"/>
      <c r="T664" s="77"/>
      <c r="U664" s="77"/>
      <c r="V664" s="87"/>
      <c r="W664" s="87"/>
      <c r="X664" s="87"/>
      <c r="Y664" s="77"/>
      <c r="Z664" s="88"/>
      <c r="AA664" s="35"/>
      <c r="AB664" s="35"/>
    </row>
    <row r="665" spans="1:28" x14ac:dyDescent="0.25">
      <c r="A665" s="68" t="str">
        <f t="shared" si="30"/>
        <v>424669</v>
      </c>
      <c r="B665" s="10">
        <f t="shared" si="31"/>
        <v>435.2106</v>
      </c>
      <c r="C665" s="77" t="s">
        <v>5290</v>
      </c>
      <c r="D665" s="191" t="str">
        <f t="shared" si="32"/>
        <v>StrongLumio profil LED Smart-In 10 3000mm stříbrná elox</v>
      </c>
      <c r="E665" s="77" t="s">
        <v>2896</v>
      </c>
      <c r="F665" s="77" t="s">
        <v>2897</v>
      </c>
      <c r="G665" s="77" t="s">
        <v>2899</v>
      </c>
      <c r="H665" s="77" t="s">
        <v>2898</v>
      </c>
      <c r="I665" s="77" t="s">
        <v>795</v>
      </c>
      <c r="J665" s="90">
        <v>40</v>
      </c>
      <c r="K665" s="91">
        <v>1</v>
      </c>
      <c r="L665" s="77" t="s">
        <v>6565</v>
      </c>
      <c r="M665" s="78">
        <v>435.2106</v>
      </c>
      <c r="N665" s="79">
        <v>16.792159999999999</v>
      </c>
      <c r="O665" s="79">
        <v>65.388599999999997</v>
      </c>
      <c r="P665" s="79">
        <v>5839.01001</v>
      </c>
      <c r="Q665" s="77"/>
      <c r="R665" s="77"/>
      <c r="S665" s="77"/>
      <c r="T665" s="77"/>
      <c r="U665" s="77"/>
      <c r="V665" s="87"/>
      <c r="W665" s="87"/>
      <c r="X665" s="87"/>
      <c r="Y665" s="77"/>
      <c r="Z665" s="88"/>
      <c r="AA665" s="35"/>
      <c r="AB665" s="35"/>
    </row>
    <row r="666" spans="1:28" x14ac:dyDescent="0.25">
      <c r="A666" s="68" t="str">
        <f t="shared" si="30"/>
        <v>356623</v>
      </c>
      <c r="B666" s="10">
        <f t="shared" si="31"/>
        <v>271.90140000000002</v>
      </c>
      <c r="C666" s="77" t="s">
        <v>5291</v>
      </c>
      <c r="D666" s="191" t="str">
        <f t="shared" si="32"/>
        <v>StrongLumio profil LED Smart-In 10, 2000mm stříbrná elox</v>
      </c>
      <c r="E666" s="77" t="s">
        <v>2900</v>
      </c>
      <c r="F666" s="77" t="s">
        <v>2901</v>
      </c>
      <c r="G666" s="77" t="s">
        <v>2903</v>
      </c>
      <c r="H666" s="77" t="s">
        <v>2902</v>
      </c>
      <c r="I666" s="77" t="s">
        <v>795</v>
      </c>
      <c r="J666" s="90">
        <v>40</v>
      </c>
      <c r="K666" s="91">
        <v>1</v>
      </c>
      <c r="L666" s="77" t="s">
        <v>6565</v>
      </c>
      <c r="M666" s="78">
        <v>271.90140000000002</v>
      </c>
      <c r="N666" s="79">
        <v>10.49104</v>
      </c>
      <c r="O666" s="79">
        <v>32.406610000000001</v>
      </c>
      <c r="P666" s="79">
        <v>3644.8100100000001</v>
      </c>
      <c r="Q666" s="77"/>
      <c r="R666" s="77"/>
      <c r="S666" s="77"/>
      <c r="T666" s="77"/>
      <c r="U666" s="77"/>
      <c r="V666" s="87"/>
      <c r="W666" s="87"/>
      <c r="X666" s="87"/>
      <c r="Y666" s="77"/>
      <c r="Z666" s="88"/>
      <c r="AA666" s="35"/>
      <c r="AB666" s="35"/>
    </row>
    <row r="667" spans="1:28" x14ac:dyDescent="0.25">
      <c r="A667" s="68" t="str">
        <f t="shared" si="30"/>
        <v>413509</v>
      </c>
      <c r="B667" s="10">
        <f t="shared" si="31"/>
        <v>298.16800000000001</v>
      </c>
      <c r="C667" s="77" t="s">
        <v>5292</v>
      </c>
      <c r="D667" s="191" t="str">
        <f t="shared" si="32"/>
        <v>StrongLumio profil LED Smart-In 16 alu anodovaný 3000mm</v>
      </c>
      <c r="E667" s="77" t="s">
        <v>2904</v>
      </c>
      <c r="F667" s="77" t="s">
        <v>2905</v>
      </c>
      <c r="G667" s="77" t="s">
        <v>2907</v>
      </c>
      <c r="H667" s="77" t="s">
        <v>2906</v>
      </c>
      <c r="I667" s="77" t="s">
        <v>795</v>
      </c>
      <c r="J667" s="90">
        <v>40</v>
      </c>
      <c r="K667" s="91">
        <v>1</v>
      </c>
      <c r="L667" s="77" t="s">
        <v>6565</v>
      </c>
      <c r="M667" s="78">
        <v>298.16800000000001</v>
      </c>
      <c r="N667" s="79">
        <v>13.686400000000001</v>
      </c>
      <c r="O667" s="79">
        <v>58.382550000000002</v>
      </c>
      <c r="P667" s="79">
        <v>4644.3613699999996</v>
      </c>
      <c r="Q667" s="77"/>
      <c r="R667" s="77"/>
      <c r="S667" s="77"/>
      <c r="T667" s="77"/>
      <c r="U667" s="77"/>
      <c r="V667" s="87"/>
      <c r="W667" s="87"/>
      <c r="X667" s="87"/>
      <c r="Y667" s="77"/>
      <c r="Z667" s="88"/>
      <c r="AA667" s="35"/>
      <c r="AB667" s="35"/>
    </row>
    <row r="668" spans="1:28" x14ac:dyDescent="0.25">
      <c r="A668" s="68" t="str">
        <f t="shared" si="30"/>
        <v>413511</v>
      </c>
      <c r="B668" s="10">
        <f t="shared" si="31"/>
        <v>1183.5708</v>
      </c>
      <c r="C668" s="77" t="s">
        <v>5293</v>
      </c>
      <c r="D668" s="191" t="str">
        <f t="shared" si="32"/>
        <v>StrongLumio profil LED Smart-In 16 alu bílý 3000mm</v>
      </c>
      <c r="E668" s="77" t="s">
        <v>2908</v>
      </c>
      <c r="F668" s="77" t="s">
        <v>2909</v>
      </c>
      <c r="G668" s="77" t="s">
        <v>2911</v>
      </c>
      <c r="H668" s="77" t="s">
        <v>2910</v>
      </c>
      <c r="I668" s="77" t="s">
        <v>795</v>
      </c>
      <c r="J668" s="90">
        <v>10</v>
      </c>
      <c r="K668" s="91">
        <v>1</v>
      </c>
      <c r="L668" s="77" t="s">
        <v>6565</v>
      </c>
      <c r="M668" s="78">
        <v>1183.5708</v>
      </c>
      <c r="N668" s="79">
        <v>45.666879999999999</v>
      </c>
      <c r="O668" s="79">
        <v>141.06407999999999</v>
      </c>
      <c r="P668" s="79">
        <v>16493.07</v>
      </c>
      <c r="Q668" s="77"/>
      <c r="R668" s="77"/>
      <c r="S668" s="77"/>
      <c r="T668" s="77"/>
      <c r="U668" s="77"/>
      <c r="V668" s="87"/>
      <c r="W668" s="87"/>
      <c r="X668" s="87"/>
      <c r="Y668" s="77"/>
      <c r="Z668" s="88"/>
      <c r="AA668" s="35"/>
      <c r="AB668" s="35"/>
    </row>
    <row r="669" spans="1:28" x14ac:dyDescent="0.25">
      <c r="A669" s="68" t="str">
        <f t="shared" si="30"/>
        <v>413512</v>
      </c>
      <c r="B669" s="10">
        <f t="shared" si="31"/>
        <v>585.89279999999997</v>
      </c>
      <c r="C669" s="77" t="s">
        <v>5294</v>
      </c>
      <c r="D669" s="191" t="str">
        <f t="shared" si="32"/>
        <v>StrongLumio profil LED Smart-In 16 alu surový 3000mm</v>
      </c>
      <c r="E669" s="77" t="s">
        <v>2912</v>
      </c>
      <c r="F669" s="77" t="s">
        <v>2912</v>
      </c>
      <c r="G669" s="77" t="s">
        <v>2914</v>
      </c>
      <c r="H669" s="77" t="s">
        <v>2913</v>
      </c>
      <c r="I669" s="77" t="s">
        <v>795</v>
      </c>
      <c r="J669" s="90">
        <v>40</v>
      </c>
      <c r="K669" s="91">
        <v>1</v>
      </c>
      <c r="L669" s="77" t="s">
        <v>6565</v>
      </c>
      <c r="M669" s="78">
        <v>585.89279999999997</v>
      </c>
      <c r="N669" s="79">
        <v>22.606079999999999</v>
      </c>
      <c r="O669" s="79">
        <v>71.398110000000003</v>
      </c>
      <c r="P669" s="79">
        <v>8167.2999900000004</v>
      </c>
      <c r="Q669" s="77"/>
      <c r="R669" s="77"/>
      <c r="S669" s="77"/>
      <c r="T669" s="77"/>
      <c r="U669" s="77"/>
      <c r="V669" s="87"/>
      <c r="W669" s="87"/>
      <c r="X669" s="87"/>
      <c r="Y669" s="77"/>
      <c r="Z669" s="88"/>
      <c r="AA669" s="35"/>
      <c r="AB669" s="35"/>
    </row>
    <row r="670" spans="1:28" x14ac:dyDescent="0.25">
      <c r="A670" s="68" t="str">
        <f t="shared" ref="A670:A733" si="33">C670</f>
        <v>231267</v>
      </c>
      <c r="B670" s="10">
        <f t="shared" si="31"/>
        <v>197.82300000000001</v>
      </c>
      <c r="C670" s="77" t="s">
        <v>5295</v>
      </c>
      <c r="D670" s="191" t="str">
        <f t="shared" si="32"/>
        <v>StrongLumio profil LED Surface 10, 1000mm bílá lak</v>
      </c>
      <c r="E670" s="77" t="s">
        <v>2915</v>
      </c>
      <c r="F670" s="77" t="s">
        <v>2916</v>
      </c>
      <c r="G670" s="77" t="s">
        <v>2918</v>
      </c>
      <c r="H670" s="77" t="s">
        <v>2917</v>
      </c>
      <c r="I670" s="77" t="s">
        <v>795</v>
      </c>
      <c r="J670" s="90">
        <v>50</v>
      </c>
      <c r="K670" s="91">
        <v>1</v>
      </c>
      <c r="L670" s="77" t="s">
        <v>6565</v>
      </c>
      <c r="M670" s="78">
        <v>197.82300000000001</v>
      </c>
      <c r="N670" s="79">
        <v>7.6327999999999996</v>
      </c>
      <c r="O670" s="79">
        <v>23.577559999999998</v>
      </c>
      <c r="P670" s="79">
        <v>2754.9399899999999</v>
      </c>
      <c r="Q670" s="77"/>
      <c r="R670" s="77"/>
      <c r="S670" s="77"/>
      <c r="T670" s="77"/>
      <c r="U670" s="77"/>
      <c r="V670" s="87"/>
      <c r="W670" s="87"/>
      <c r="X670" s="87"/>
      <c r="Y670" s="77"/>
      <c r="Z670" s="88"/>
      <c r="AA670" s="35"/>
      <c r="AB670" s="35"/>
    </row>
    <row r="671" spans="1:28" x14ac:dyDescent="0.25">
      <c r="A671" s="68" t="str">
        <f t="shared" si="33"/>
        <v>231266</v>
      </c>
      <c r="B671" s="10">
        <f t="shared" si="31"/>
        <v>202.87379999999999</v>
      </c>
      <c r="C671" s="77" t="s">
        <v>5296</v>
      </c>
      <c r="D671" s="191" t="str">
        <f t="shared" si="32"/>
        <v>StrongLumio profil LED Surface 10, 1000mm černá elox</v>
      </c>
      <c r="E671" s="77" t="s">
        <v>2919</v>
      </c>
      <c r="F671" s="77" t="s">
        <v>2920</v>
      </c>
      <c r="G671" s="77" t="s">
        <v>2922</v>
      </c>
      <c r="H671" s="77" t="s">
        <v>2921</v>
      </c>
      <c r="I671" s="77" t="s">
        <v>795</v>
      </c>
      <c r="J671" s="90">
        <v>50</v>
      </c>
      <c r="K671" s="91">
        <v>1</v>
      </c>
      <c r="L671" s="77" t="s">
        <v>6565</v>
      </c>
      <c r="M671" s="78">
        <v>202.87379999999999</v>
      </c>
      <c r="N671" s="79">
        <v>7.82768</v>
      </c>
      <c r="O671" s="79">
        <v>24.179549999999999</v>
      </c>
      <c r="P671" s="79">
        <v>2828.0799900000002</v>
      </c>
      <c r="Q671" s="77"/>
      <c r="R671" s="77"/>
      <c r="S671" s="77"/>
      <c r="T671" s="77"/>
      <c r="U671" s="77"/>
      <c r="V671" s="87"/>
      <c r="W671" s="87"/>
      <c r="X671" s="87"/>
      <c r="Y671" s="77"/>
      <c r="Z671" s="88"/>
      <c r="AA671" s="35"/>
      <c r="AB671" s="35"/>
    </row>
    <row r="672" spans="1:28" x14ac:dyDescent="0.25">
      <c r="A672" s="68" t="str">
        <f t="shared" si="33"/>
        <v>130588</v>
      </c>
      <c r="B672" s="10">
        <f t="shared" ref="B672:B735" si="34">IF($B$1=1,M672,IF($B$1=2,N672,IF($B$1=3,O672,IF($B$1=4,P672))))</f>
        <v>127.1118</v>
      </c>
      <c r="C672" s="77" t="s">
        <v>266</v>
      </c>
      <c r="D672" s="191" t="str">
        <f t="shared" si="32"/>
        <v>StrongLumio profil LED Surface 10, 1000mm stříbrná elox</v>
      </c>
      <c r="E672" s="77" t="s">
        <v>2923</v>
      </c>
      <c r="F672" s="77" t="s">
        <v>2924</v>
      </c>
      <c r="G672" s="77" t="s">
        <v>2926</v>
      </c>
      <c r="H672" s="77" t="s">
        <v>2925</v>
      </c>
      <c r="I672" s="77" t="s">
        <v>795</v>
      </c>
      <c r="J672" s="90">
        <v>40</v>
      </c>
      <c r="K672" s="91">
        <v>1</v>
      </c>
      <c r="L672" s="77" t="s">
        <v>227</v>
      </c>
      <c r="M672" s="78">
        <v>127.1118</v>
      </c>
      <c r="N672" s="79">
        <v>4.9044800000000004</v>
      </c>
      <c r="O672" s="79">
        <v>15.149839999999999</v>
      </c>
      <c r="P672" s="79">
        <v>1706.6000100000001</v>
      </c>
      <c r="Q672" s="77"/>
      <c r="R672" s="77"/>
      <c r="S672" s="77"/>
      <c r="T672" s="77"/>
      <c r="U672" s="77"/>
      <c r="V672" s="87"/>
      <c r="W672" s="87"/>
      <c r="X672" s="87"/>
      <c r="Y672" s="77"/>
      <c r="Z672" s="88"/>
      <c r="AA672" s="35"/>
      <c r="AB672" s="35"/>
    </row>
    <row r="673" spans="1:28" x14ac:dyDescent="0.25">
      <c r="A673" s="68" t="str">
        <f t="shared" si="33"/>
        <v>230904</v>
      </c>
      <c r="B673" s="10">
        <f t="shared" si="34"/>
        <v>377.96820000000002</v>
      </c>
      <c r="C673" s="77" t="s">
        <v>230</v>
      </c>
      <c r="D673" s="191" t="str">
        <f t="shared" si="32"/>
        <v>StrongLumio profil LED Surface 10, 2000mm bílá lak</v>
      </c>
      <c r="E673" s="77" t="s">
        <v>2927</v>
      </c>
      <c r="F673" s="77" t="s">
        <v>2928</v>
      </c>
      <c r="G673" s="77" t="s">
        <v>2930</v>
      </c>
      <c r="H673" s="77" t="s">
        <v>2929</v>
      </c>
      <c r="I673" s="77" t="s">
        <v>795</v>
      </c>
      <c r="J673" s="90">
        <v>50</v>
      </c>
      <c r="K673" s="91">
        <v>1</v>
      </c>
      <c r="L673" s="77" t="s">
        <v>227</v>
      </c>
      <c r="M673" s="78">
        <v>377.96820000000002</v>
      </c>
      <c r="N673" s="79">
        <v>14.58352</v>
      </c>
      <c r="O673" s="79">
        <v>45.048189999999998</v>
      </c>
      <c r="P673" s="79">
        <v>5083.2299999999996</v>
      </c>
      <c r="Q673" s="77"/>
      <c r="R673" s="77"/>
      <c r="S673" s="77"/>
      <c r="T673" s="77"/>
      <c r="U673" s="77"/>
      <c r="V673" s="87"/>
      <c r="W673" s="87"/>
      <c r="X673" s="87"/>
      <c r="Y673" s="77"/>
      <c r="Z673" s="88"/>
      <c r="AA673" s="35"/>
      <c r="AB673" s="35"/>
    </row>
    <row r="674" spans="1:28" x14ac:dyDescent="0.25">
      <c r="A674" s="68" t="str">
        <f t="shared" si="33"/>
        <v>230903</v>
      </c>
      <c r="B674" s="10">
        <f t="shared" si="34"/>
        <v>388.06979999999999</v>
      </c>
      <c r="C674" s="77" t="s">
        <v>246</v>
      </c>
      <c r="D674" s="191" t="str">
        <f t="shared" si="32"/>
        <v>StrongLumio profil LED Surface 10, 2000mm černá elox</v>
      </c>
      <c r="E674" s="77" t="s">
        <v>2931</v>
      </c>
      <c r="F674" s="77" t="s">
        <v>2932</v>
      </c>
      <c r="G674" s="77" t="s">
        <v>2934</v>
      </c>
      <c r="H674" s="77" t="s">
        <v>2933</v>
      </c>
      <c r="I674" s="77" t="s">
        <v>795</v>
      </c>
      <c r="J674" s="90">
        <v>50</v>
      </c>
      <c r="K674" s="91">
        <v>1</v>
      </c>
      <c r="L674" s="77" t="s">
        <v>227</v>
      </c>
      <c r="M674" s="78">
        <v>388.06979999999999</v>
      </c>
      <c r="N674" s="79">
        <v>14.973280000000001</v>
      </c>
      <c r="O674" s="79">
        <v>46.252160000000003</v>
      </c>
      <c r="P674" s="79">
        <v>5217.3200100000004</v>
      </c>
      <c r="Q674" s="77"/>
      <c r="R674" s="77"/>
      <c r="S674" s="77"/>
      <c r="T674" s="77"/>
      <c r="U674" s="77"/>
      <c r="V674" s="87"/>
      <c r="W674" s="87"/>
      <c r="X674" s="87"/>
      <c r="Y674" s="77"/>
      <c r="Z674" s="88"/>
      <c r="AA674" s="35"/>
      <c r="AB674" s="35"/>
    </row>
    <row r="675" spans="1:28" x14ac:dyDescent="0.25">
      <c r="A675" s="68" t="str">
        <f t="shared" si="33"/>
        <v>130589</v>
      </c>
      <c r="B675" s="10">
        <f t="shared" si="34"/>
        <v>255.90719999999999</v>
      </c>
      <c r="C675" s="77" t="s">
        <v>274</v>
      </c>
      <c r="D675" s="191" t="str">
        <f t="shared" si="32"/>
        <v>StrongLumio profil LED Surface 10, 2000mm stříbrná elox</v>
      </c>
      <c r="E675" s="77" t="s">
        <v>2935</v>
      </c>
      <c r="F675" s="77" t="s">
        <v>2936</v>
      </c>
      <c r="G675" s="77" t="s">
        <v>2938</v>
      </c>
      <c r="H675" s="77" t="s">
        <v>2937</v>
      </c>
      <c r="I675" s="77" t="s">
        <v>795</v>
      </c>
      <c r="J675" s="90">
        <v>40</v>
      </c>
      <c r="K675" s="91">
        <v>1</v>
      </c>
      <c r="L675" s="77" t="s">
        <v>276</v>
      </c>
      <c r="M675" s="78">
        <v>255.90719999999999</v>
      </c>
      <c r="N675" s="79">
        <v>9.87392</v>
      </c>
      <c r="O675" s="79">
        <v>30.500340000000001</v>
      </c>
      <c r="P675" s="79">
        <v>3437.58</v>
      </c>
      <c r="Q675" s="77"/>
      <c r="R675" s="77"/>
      <c r="S675" s="77"/>
      <c r="T675" s="77"/>
      <c r="U675" s="77"/>
      <c r="V675" s="87"/>
      <c r="W675" s="87"/>
      <c r="X675" s="87"/>
      <c r="Y675" s="77"/>
      <c r="Z675" s="88"/>
      <c r="AA675" s="35"/>
      <c r="AB675" s="35"/>
    </row>
    <row r="676" spans="1:28" x14ac:dyDescent="0.25">
      <c r="A676" s="68" t="str">
        <f t="shared" si="33"/>
        <v>285023</v>
      </c>
      <c r="B676" s="10">
        <f t="shared" si="34"/>
        <v>605.25419999999997</v>
      </c>
      <c r="C676" s="77" t="s">
        <v>237</v>
      </c>
      <c r="D676" s="191" t="str">
        <f t="shared" si="32"/>
        <v>StrongLumio profil LED Surface 10, 3000mm bílá lak</v>
      </c>
      <c r="E676" s="77" t="s">
        <v>2939</v>
      </c>
      <c r="F676" s="77" t="s">
        <v>2940</v>
      </c>
      <c r="G676" s="77" t="s">
        <v>2942</v>
      </c>
      <c r="H676" s="77" t="s">
        <v>2941</v>
      </c>
      <c r="I676" s="77" t="s">
        <v>795</v>
      </c>
      <c r="J676" s="90">
        <v>10</v>
      </c>
      <c r="K676" s="91">
        <v>1</v>
      </c>
      <c r="L676" s="77" t="s">
        <v>227</v>
      </c>
      <c r="M676" s="78">
        <v>605.25419999999997</v>
      </c>
      <c r="N676" s="79">
        <v>23.353120000000001</v>
      </c>
      <c r="O676" s="79">
        <v>72.137330000000006</v>
      </c>
      <c r="P676" s="79">
        <v>8130.7299899999998</v>
      </c>
      <c r="Q676" s="77"/>
      <c r="R676" s="77"/>
      <c r="S676" s="77"/>
      <c r="T676" s="77"/>
      <c r="U676" s="77"/>
      <c r="V676" s="87"/>
      <c r="W676" s="87"/>
      <c r="X676" s="87"/>
      <c r="Y676" s="77"/>
      <c r="Z676" s="88"/>
      <c r="AA676" s="35"/>
      <c r="AB676" s="35"/>
    </row>
    <row r="677" spans="1:28" x14ac:dyDescent="0.25">
      <c r="A677" s="68" t="str">
        <f t="shared" si="33"/>
        <v>275767</v>
      </c>
      <c r="B677" s="10">
        <f t="shared" si="34"/>
        <v>621.24839999999995</v>
      </c>
      <c r="C677" s="77" t="s">
        <v>253</v>
      </c>
      <c r="D677" s="191" t="str">
        <f t="shared" si="32"/>
        <v>StrongLumio profil LED Surface 10, 3000mm černá elox</v>
      </c>
      <c r="E677" s="77" t="s">
        <v>2943</v>
      </c>
      <c r="F677" s="77" t="s">
        <v>2944</v>
      </c>
      <c r="G677" s="77" t="s">
        <v>2946</v>
      </c>
      <c r="H677" s="77" t="s">
        <v>2945</v>
      </c>
      <c r="I677" s="77" t="s">
        <v>795</v>
      </c>
      <c r="J677" s="90">
        <v>10</v>
      </c>
      <c r="K677" s="91">
        <v>1</v>
      </c>
      <c r="L677" s="77" t="s">
        <v>227</v>
      </c>
      <c r="M677" s="78">
        <v>621.24839999999995</v>
      </c>
      <c r="N677" s="79">
        <v>23.97024</v>
      </c>
      <c r="O677" s="79">
        <v>74.043589999999995</v>
      </c>
      <c r="P677" s="79">
        <v>8337.9599999999991</v>
      </c>
      <c r="Q677" s="77"/>
      <c r="R677" s="77"/>
      <c r="S677" s="77"/>
      <c r="T677" s="77"/>
      <c r="U677" s="77"/>
      <c r="V677" s="87"/>
      <c r="W677" s="87"/>
      <c r="X677" s="87"/>
      <c r="Y677" s="77"/>
      <c r="Z677" s="88"/>
      <c r="AA677" s="35"/>
      <c r="AB677" s="35"/>
    </row>
    <row r="678" spans="1:28" x14ac:dyDescent="0.25">
      <c r="A678" s="68" t="str">
        <f t="shared" si="33"/>
        <v>244328</v>
      </c>
      <c r="B678" s="10">
        <f t="shared" si="34"/>
        <v>393.9624</v>
      </c>
      <c r="C678" s="77" t="s">
        <v>277</v>
      </c>
      <c r="D678" s="191" t="str">
        <f t="shared" si="32"/>
        <v>StrongLumio profil LED Surface 10, 3000mm stříbrná elox</v>
      </c>
      <c r="E678" s="77" t="s">
        <v>2947</v>
      </c>
      <c r="F678" s="77" t="s">
        <v>2948</v>
      </c>
      <c r="G678" s="77" t="s">
        <v>2950</v>
      </c>
      <c r="H678" s="77" t="s">
        <v>2949</v>
      </c>
      <c r="I678" s="77" t="s">
        <v>795</v>
      </c>
      <c r="J678" s="90">
        <v>40</v>
      </c>
      <c r="K678" s="91">
        <v>1</v>
      </c>
      <c r="L678" s="77" t="s">
        <v>227</v>
      </c>
      <c r="M678" s="78">
        <v>393.9624</v>
      </c>
      <c r="N678" s="79">
        <v>15.20064</v>
      </c>
      <c r="O678" s="79">
        <v>46.954470000000001</v>
      </c>
      <c r="P678" s="79">
        <v>5290.4600099999998</v>
      </c>
      <c r="Q678" s="77"/>
      <c r="R678" s="77"/>
      <c r="S678" s="77"/>
      <c r="T678" s="77"/>
      <c r="U678" s="77"/>
      <c r="V678" s="87"/>
      <c r="W678" s="87"/>
      <c r="X678" s="87"/>
      <c r="Y678" s="77"/>
      <c r="Z678" s="88"/>
      <c r="AA678" s="35"/>
      <c r="AB678" s="35"/>
    </row>
    <row r="679" spans="1:28" x14ac:dyDescent="0.25">
      <c r="A679" s="68" t="str">
        <f t="shared" si="33"/>
        <v>353540</v>
      </c>
      <c r="B679" s="10">
        <f t="shared" si="34"/>
        <v>818.2296</v>
      </c>
      <c r="C679" s="77" t="s">
        <v>5297</v>
      </c>
      <c r="D679" s="191" t="str">
        <f t="shared" si="32"/>
        <v>StrongLumio profil LED Surface 10, 4050mm bílá lak</v>
      </c>
      <c r="E679" s="77" t="s">
        <v>2951</v>
      </c>
      <c r="F679" s="77" t="s">
        <v>2952</v>
      </c>
      <c r="G679" s="77" t="s">
        <v>2954</v>
      </c>
      <c r="H679" s="77" t="s">
        <v>2953</v>
      </c>
      <c r="I679" s="77" t="s">
        <v>795</v>
      </c>
      <c r="J679" s="90">
        <v>10</v>
      </c>
      <c r="K679" s="91">
        <v>1</v>
      </c>
      <c r="L679" s="77" t="s">
        <v>6565</v>
      </c>
      <c r="M679" s="78">
        <v>818.2296</v>
      </c>
      <c r="N679" s="79">
        <v>31.57056</v>
      </c>
      <c r="O679" s="79">
        <v>97.520830000000004</v>
      </c>
      <c r="P679" s="79">
        <v>11409.84</v>
      </c>
      <c r="Q679" s="77"/>
      <c r="R679" s="77"/>
      <c r="S679" s="77"/>
      <c r="T679" s="77"/>
      <c r="U679" s="77"/>
      <c r="V679" s="87"/>
      <c r="W679" s="87"/>
      <c r="X679" s="87"/>
      <c r="Y679" s="77"/>
      <c r="Z679" s="88"/>
      <c r="AA679" s="35"/>
      <c r="AB679" s="35"/>
    </row>
    <row r="680" spans="1:28" x14ac:dyDescent="0.25">
      <c r="A680" s="68" t="str">
        <f t="shared" si="33"/>
        <v>353541</v>
      </c>
      <c r="B680" s="10">
        <f t="shared" si="34"/>
        <v>814.02059999999994</v>
      </c>
      <c r="C680" s="77" t="s">
        <v>255</v>
      </c>
      <c r="D680" s="191" t="str">
        <f t="shared" si="32"/>
        <v>StrongLumio profil LED Surface 10, 4050mm černá elox</v>
      </c>
      <c r="E680" s="77" t="s">
        <v>2955</v>
      </c>
      <c r="F680" s="77" t="s">
        <v>2956</v>
      </c>
      <c r="G680" s="77" t="s">
        <v>2958</v>
      </c>
      <c r="H680" s="77" t="s">
        <v>2957</v>
      </c>
      <c r="I680" s="77" t="s">
        <v>795</v>
      </c>
      <c r="J680" s="90">
        <v>10</v>
      </c>
      <c r="K680" s="91">
        <v>1</v>
      </c>
      <c r="L680" s="77" t="s">
        <v>227</v>
      </c>
      <c r="M680" s="78">
        <v>814.02059999999994</v>
      </c>
      <c r="N680" s="79">
        <v>31.408159999999999</v>
      </c>
      <c r="O680" s="79">
        <v>97.019180000000006</v>
      </c>
      <c r="P680" s="79">
        <v>10934.43</v>
      </c>
      <c r="Q680" s="77"/>
      <c r="R680" s="77"/>
      <c r="S680" s="77"/>
      <c r="T680" s="77"/>
      <c r="U680" s="77"/>
      <c r="V680" s="87"/>
      <c r="W680" s="87"/>
      <c r="X680" s="87"/>
      <c r="Y680" s="77"/>
      <c r="Z680" s="88"/>
      <c r="AA680" s="35"/>
      <c r="AB680" s="35"/>
    </row>
    <row r="681" spans="1:28" x14ac:dyDescent="0.25">
      <c r="A681" s="68" t="str">
        <f t="shared" si="33"/>
        <v>252277</v>
      </c>
      <c r="B681" s="10">
        <f t="shared" si="34"/>
        <v>507.60539999999997</v>
      </c>
      <c r="C681" s="77" t="s">
        <v>278</v>
      </c>
      <c r="D681" s="191" t="str">
        <f t="shared" si="32"/>
        <v>StrongLumio profil LED Surface 10, 4050mm stříbrná elox</v>
      </c>
      <c r="E681" s="77" t="s">
        <v>2959</v>
      </c>
      <c r="F681" s="77" t="s">
        <v>2960</v>
      </c>
      <c r="G681" s="77" t="s">
        <v>2962</v>
      </c>
      <c r="H681" s="77" t="s">
        <v>2961</v>
      </c>
      <c r="I681" s="77" t="s">
        <v>795</v>
      </c>
      <c r="J681" s="90">
        <v>40</v>
      </c>
      <c r="K681" s="91">
        <v>1</v>
      </c>
      <c r="L681" s="77" t="s">
        <v>227</v>
      </c>
      <c r="M681" s="78">
        <v>507.60539999999997</v>
      </c>
      <c r="N681" s="79">
        <v>19.585439999999998</v>
      </c>
      <c r="O681" s="79">
        <v>60.499029999999998</v>
      </c>
      <c r="P681" s="79">
        <v>6814.2099900000003</v>
      </c>
      <c r="Q681" s="77"/>
      <c r="R681" s="77"/>
      <c r="S681" s="77"/>
      <c r="T681" s="77"/>
      <c r="U681" s="77"/>
      <c r="V681" s="87"/>
      <c r="W681" s="87"/>
      <c r="X681" s="87"/>
      <c r="Y681" s="77"/>
      <c r="Z681" s="88"/>
      <c r="AA681" s="35"/>
      <c r="AB681" s="35"/>
    </row>
    <row r="682" spans="1:28" x14ac:dyDescent="0.25">
      <c r="A682" s="68" t="str">
        <f t="shared" si="33"/>
        <v>255925</v>
      </c>
      <c r="B682" s="10">
        <f t="shared" si="34"/>
        <v>44.576680000000003</v>
      </c>
      <c r="C682" s="77" t="s">
        <v>5298</v>
      </c>
      <c r="D682" s="191" t="str">
        <f t="shared" si="32"/>
        <v>StrongLumio profil LED Uni 12 alu anodovaný 1000mm</v>
      </c>
      <c r="E682" s="77" t="s">
        <v>2963</v>
      </c>
      <c r="F682" s="77" t="s">
        <v>2964</v>
      </c>
      <c r="G682" s="77" t="s">
        <v>2966</v>
      </c>
      <c r="H682" s="77" t="s">
        <v>2965</v>
      </c>
      <c r="I682" s="77" t="s">
        <v>795</v>
      </c>
      <c r="J682" s="90">
        <v>100</v>
      </c>
      <c r="K682" s="91">
        <v>1</v>
      </c>
      <c r="L682" s="77" t="s">
        <v>160</v>
      </c>
      <c r="M682" s="78">
        <v>44.576680000000003</v>
      </c>
      <c r="N682" s="79">
        <v>1.7165900000000001</v>
      </c>
      <c r="O682" s="79">
        <v>8.39316</v>
      </c>
      <c r="P682" s="79">
        <v>721.36122999999998</v>
      </c>
      <c r="Q682" s="77"/>
      <c r="R682" s="77"/>
      <c r="S682" s="77"/>
      <c r="T682" s="77"/>
      <c r="U682" s="77"/>
      <c r="V682" s="87"/>
      <c r="W682" s="87"/>
      <c r="X682" s="87"/>
      <c r="Y682" s="77"/>
      <c r="Z682" s="88"/>
      <c r="AA682" s="35"/>
      <c r="AB682" s="35"/>
    </row>
    <row r="683" spans="1:28" x14ac:dyDescent="0.25">
      <c r="A683" s="68" t="str">
        <f t="shared" si="33"/>
        <v>255926</v>
      </c>
      <c r="B683" s="10">
        <f t="shared" si="34"/>
        <v>79.989980000000003</v>
      </c>
      <c r="C683" s="77" t="s">
        <v>5299</v>
      </c>
      <c r="D683" s="191" t="str">
        <f t="shared" si="32"/>
        <v>StrongLumio profil LED Uni 12 alu anodovaný 2000mm</v>
      </c>
      <c r="E683" s="77" t="s">
        <v>2967</v>
      </c>
      <c r="F683" s="77" t="s">
        <v>2967</v>
      </c>
      <c r="G683" s="77" t="s">
        <v>2969</v>
      </c>
      <c r="H683" s="77" t="s">
        <v>2968</v>
      </c>
      <c r="I683" s="77" t="s">
        <v>795</v>
      </c>
      <c r="J683" s="90">
        <v>40</v>
      </c>
      <c r="K683" s="91">
        <v>1</v>
      </c>
      <c r="L683" s="77" t="s">
        <v>160</v>
      </c>
      <c r="M683" s="78">
        <v>79.989980000000003</v>
      </c>
      <c r="N683" s="79">
        <v>3.6716700000000002</v>
      </c>
      <c r="O683" s="79">
        <v>15.662369999999999</v>
      </c>
      <c r="P683" s="79">
        <v>1245.9497699999999</v>
      </c>
      <c r="Q683" s="77"/>
      <c r="R683" s="77"/>
      <c r="S683" s="77"/>
      <c r="T683" s="77"/>
      <c r="U683" s="77"/>
      <c r="V683" s="87"/>
      <c r="W683" s="87"/>
      <c r="X683" s="87"/>
      <c r="Y683" s="77"/>
      <c r="Z683" s="88"/>
      <c r="AA683" s="35"/>
      <c r="AB683" s="35"/>
    </row>
    <row r="684" spans="1:28" x14ac:dyDescent="0.25">
      <c r="A684" s="68" t="str">
        <f t="shared" si="33"/>
        <v>457218</v>
      </c>
      <c r="B684" s="10">
        <f t="shared" si="34"/>
        <v>543.16150000000005</v>
      </c>
      <c r="C684" s="77" t="s">
        <v>5300</v>
      </c>
      <c r="D684" s="191" t="str">
        <f t="shared" si="32"/>
        <v>StrongLumio profil LED Vario 30-06 (2m) alu anodovaný</v>
      </c>
      <c r="E684" s="77" t="s">
        <v>2970</v>
      </c>
      <c r="F684" s="77" t="s">
        <v>2971</v>
      </c>
      <c r="G684" s="77" t="s">
        <v>2973</v>
      </c>
      <c r="H684" s="77" t="s">
        <v>2972</v>
      </c>
      <c r="I684" s="77" t="s">
        <v>795</v>
      </c>
      <c r="J684" s="90">
        <v>10</v>
      </c>
      <c r="K684" s="91">
        <v>1</v>
      </c>
      <c r="L684" s="77" t="s">
        <v>160</v>
      </c>
      <c r="M684" s="78">
        <v>543.16150000000005</v>
      </c>
      <c r="N684" s="79">
        <v>20.8992</v>
      </c>
      <c r="O684" s="79">
        <v>28.393370000000001</v>
      </c>
      <c r="P684" s="79">
        <v>7557.9058500000001</v>
      </c>
      <c r="Q684" s="77"/>
      <c r="R684" s="77"/>
      <c r="S684" s="77"/>
      <c r="T684" s="77"/>
      <c r="U684" s="77"/>
      <c r="V684" s="87"/>
      <c r="W684" s="87"/>
      <c r="X684" s="87"/>
      <c r="Y684" s="77"/>
      <c r="Z684" s="88"/>
      <c r="AA684" s="35"/>
      <c r="AB684" s="35"/>
    </row>
    <row r="685" spans="1:28" x14ac:dyDescent="0.25">
      <c r="A685" s="68" t="str">
        <f t="shared" si="33"/>
        <v>224549</v>
      </c>
      <c r="B685" s="10">
        <f t="shared" si="34"/>
        <v>100.2495</v>
      </c>
      <c r="C685" s="77" t="s">
        <v>5301</v>
      </c>
      <c r="D685" s="191" t="str">
        <f t="shared" si="32"/>
        <v>StrongLumio profil LED Wide 24, 1000mm stříbrná elox</v>
      </c>
      <c r="E685" s="77" t="s">
        <v>2974</v>
      </c>
      <c r="F685" s="77" t="s">
        <v>2975</v>
      </c>
      <c r="G685" s="77" t="s">
        <v>2977</v>
      </c>
      <c r="H685" s="77" t="s">
        <v>2976</v>
      </c>
      <c r="I685" s="77" t="s">
        <v>795</v>
      </c>
      <c r="J685" s="90">
        <v>40</v>
      </c>
      <c r="K685" s="91">
        <v>1</v>
      </c>
      <c r="L685" s="77" t="s">
        <v>160</v>
      </c>
      <c r="M685" s="78">
        <v>100.2495</v>
      </c>
      <c r="N685" s="79">
        <v>4.6300800000000004</v>
      </c>
      <c r="O685" s="79">
        <v>27.610800000000001</v>
      </c>
      <c r="P685" s="79">
        <v>1596.32962</v>
      </c>
      <c r="Q685" s="77"/>
      <c r="R685" s="77"/>
      <c r="S685" s="77"/>
      <c r="T685" s="77"/>
      <c r="U685" s="77"/>
      <c r="V685" s="87"/>
      <c r="W685" s="87"/>
      <c r="X685" s="87"/>
      <c r="Y685" s="77"/>
      <c r="Z685" s="88"/>
      <c r="AA685" s="35"/>
      <c r="AB685" s="35"/>
    </row>
    <row r="686" spans="1:28" x14ac:dyDescent="0.25">
      <c r="A686" s="68" t="str">
        <f t="shared" si="33"/>
        <v>130639</v>
      </c>
      <c r="B686" s="10">
        <f t="shared" si="34"/>
        <v>57.690750000000001</v>
      </c>
      <c r="C686" s="77" t="s">
        <v>5302</v>
      </c>
      <c r="D686" s="191" t="str">
        <f t="shared" si="32"/>
        <v>StrongLumio profil LED Wide 24, 1000mm stříbrná surová</v>
      </c>
      <c r="E686" s="77" t="s">
        <v>2978</v>
      </c>
      <c r="F686" s="77" t="s">
        <v>2979</v>
      </c>
      <c r="G686" s="77" t="s">
        <v>2981</v>
      </c>
      <c r="H686" s="77" t="s">
        <v>2980</v>
      </c>
      <c r="I686" s="77" t="s">
        <v>795</v>
      </c>
      <c r="J686" s="90">
        <v>40</v>
      </c>
      <c r="K686" s="91">
        <v>1</v>
      </c>
      <c r="L686" s="77" t="s">
        <v>160</v>
      </c>
      <c r="M686" s="78">
        <v>57.690750000000001</v>
      </c>
      <c r="N686" s="79">
        <v>2.6644800000000002</v>
      </c>
      <c r="O686" s="79">
        <v>18.73922</v>
      </c>
      <c r="P686" s="79">
        <v>918.64251999999999</v>
      </c>
      <c r="Q686" s="77"/>
      <c r="R686" s="77"/>
      <c r="S686" s="77"/>
      <c r="T686" s="77"/>
      <c r="U686" s="77"/>
      <c r="V686" s="87"/>
      <c r="W686" s="87"/>
      <c r="X686" s="87"/>
      <c r="Y686" s="77"/>
      <c r="Z686" s="88"/>
      <c r="AA686" s="35"/>
      <c r="AB686" s="35"/>
    </row>
    <row r="687" spans="1:28" x14ac:dyDescent="0.25">
      <c r="A687" s="68" t="str">
        <f t="shared" si="33"/>
        <v>179745</v>
      </c>
      <c r="B687" s="10">
        <f t="shared" si="34"/>
        <v>540.43560000000002</v>
      </c>
      <c r="C687" s="77" t="s">
        <v>5303</v>
      </c>
      <c r="D687" s="191" t="str">
        <f t="shared" si="32"/>
        <v>StrongLumio profil LED Wide 24, 2000mm stříbrná elox</v>
      </c>
      <c r="E687" s="77" t="s">
        <v>2982</v>
      </c>
      <c r="F687" s="77" t="s">
        <v>2983</v>
      </c>
      <c r="G687" s="77" t="s">
        <v>2985</v>
      </c>
      <c r="H687" s="77" t="s">
        <v>2984</v>
      </c>
      <c r="I687" s="77" t="s">
        <v>795</v>
      </c>
      <c r="J687" s="90">
        <v>40</v>
      </c>
      <c r="K687" s="91">
        <v>1</v>
      </c>
      <c r="L687" s="77" t="s">
        <v>227</v>
      </c>
      <c r="M687" s="78">
        <v>540.43560000000002</v>
      </c>
      <c r="N687" s="79">
        <v>20.852160000000001</v>
      </c>
      <c r="O687" s="79">
        <v>64.411910000000006</v>
      </c>
      <c r="P687" s="79">
        <v>7265.2400100000004</v>
      </c>
      <c r="Q687" s="77"/>
      <c r="R687" s="77"/>
      <c r="S687" s="77"/>
      <c r="T687" s="77"/>
      <c r="U687" s="77"/>
      <c r="V687" s="87"/>
      <c r="W687" s="87"/>
      <c r="X687" s="87"/>
      <c r="Y687" s="77"/>
      <c r="Z687" s="88"/>
      <c r="AA687" s="35"/>
      <c r="AB687" s="35"/>
    </row>
    <row r="688" spans="1:28" x14ac:dyDescent="0.25">
      <c r="A688" s="68" t="str">
        <f t="shared" si="33"/>
        <v>130640</v>
      </c>
      <c r="B688" s="10">
        <f t="shared" si="34"/>
        <v>325.77659999999997</v>
      </c>
      <c r="C688" s="77" t="s">
        <v>5304</v>
      </c>
      <c r="D688" s="191" t="str">
        <f t="shared" si="32"/>
        <v>StrongLumio profil LED Wide 24, 2000mm stříbrná surová</v>
      </c>
      <c r="E688" s="77" t="s">
        <v>2986</v>
      </c>
      <c r="F688" s="77" t="s">
        <v>2987</v>
      </c>
      <c r="G688" s="77" t="s">
        <v>2989</v>
      </c>
      <c r="H688" s="77" t="s">
        <v>2988</v>
      </c>
      <c r="I688" s="77" t="s">
        <v>795</v>
      </c>
      <c r="J688" s="90">
        <v>40</v>
      </c>
      <c r="K688" s="91">
        <v>1</v>
      </c>
      <c r="L688" s="77" t="s">
        <v>227</v>
      </c>
      <c r="M688" s="78">
        <v>325.77659999999997</v>
      </c>
      <c r="N688" s="79">
        <v>12.56976</v>
      </c>
      <c r="O688" s="79">
        <v>38.827739999999999</v>
      </c>
      <c r="P688" s="79">
        <v>4376.2100099999998</v>
      </c>
      <c r="Q688" s="77"/>
      <c r="R688" s="77"/>
      <c r="S688" s="77"/>
      <c r="T688" s="77"/>
      <c r="U688" s="77"/>
      <c r="V688" s="87"/>
      <c r="W688" s="87"/>
      <c r="X688" s="87"/>
      <c r="Y688" s="77"/>
      <c r="Z688" s="88"/>
      <c r="AA688" s="35"/>
      <c r="AB688" s="35"/>
    </row>
    <row r="689" spans="1:28" x14ac:dyDescent="0.25">
      <c r="A689" s="68" t="str">
        <f t="shared" si="33"/>
        <v>467080</v>
      </c>
      <c r="B689" s="10">
        <f t="shared" si="34"/>
        <v>1307.3154</v>
      </c>
      <c r="C689" s="77" t="s">
        <v>5305</v>
      </c>
      <c r="D689" s="191" t="str">
        <f t="shared" si="32"/>
        <v>StrongLumio profil Lucas narážecí 3950mm stříbrná elox</v>
      </c>
      <c r="E689" s="77" t="s">
        <v>2990</v>
      </c>
      <c r="F689" s="77" t="s">
        <v>2991</v>
      </c>
      <c r="G689" s="77" t="s">
        <v>2993</v>
      </c>
      <c r="H689" s="77" t="s">
        <v>2992</v>
      </c>
      <c r="I689" s="77" t="s">
        <v>795</v>
      </c>
      <c r="J689" s="90">
        <v>20</v>
      </c>
      <c r="K689" s="91">
        <v>1</v>
      </c>
      <c r="L689" s="77" t="s">
        <v>6565</v>
      </c>
      <c r="M689" s="78">
        <v>1307.3154</v>
      </c>
      <c r="N689" s="79">
        <v>50.44144</v>
      </c>
      <c r="O689" s="79">
        <v>155.81261000000001</v>
      </c>
      <c r="P689" s="79">
        <v>18211.86</v>
      </c>
      <c r="Q689" s="77"/>
      <c r="R689" s="77"/>
      <c r="S689" s="77"/>
      <c r="T689" s="77"/>
      <c r="U689" s="77"/>
      <c r="V689" s="87"/>
      <c r="W689" s="87"/>
      <c r="X689" s="87"/>
      <c r="Y689" s="77"/>
      <c r="Z689" s="88"/>
      <c r="AA689" s="35"/>
      <c r="AB689" s="35"/>
    </row>
    <row r="690" spans="1:28" x14ac:dyDescent="0.25">
      <c r="A690" s="68" t="str">
        <f t="shared" si="33"/>
        <v>467088</v>
      </c>
      <c r="B690" s="10">
        <f t="shared" si="34"/>
        <v>1793.8758</v>
      </c>
      <c r="C690" s="77" t="s">
        <v>5306</v>
      </c>
      <c r="D690" s="191" t="str">
        <f t="shared" si="32"/>
        <v>StrongLumio profil Lucas narážecí 4000mm bílá lak</v>
      </c>
      <c r="E690" s="77" t="s">
        <v>2994</v>
      </c>
      <c r="F690" s="77" t="s">
        <v>2995</v>
      </c>
      <c r="G690" s="77" t="s">
        <v>2997</v>
      </c>
      <c r="H690" s="77" t="s">
        <v>2996</v>
      </c>
      <c r="I690" s="77" t="s">
        <v>795</v>
      </c>
      <c r="J690" s="90">
        <v>20</v>
      </c>
      <c r="K690" s="91">
        <v>1</v>
      </c>
      <c r="L690" s="77" t="s">
        <v>6566</v>
      </c>
      <c r="M690" s="78">
        <v>1793.8758</v>
      </c>
      <c r="N690" s="79">
        <v>69.214879999999994</v>
      </c>
      <c r="O690" s="79">
        <v>210.20488</v>
      </c>
      <c r="P690" s="79">
        <v>25001.690009999998</v>
      </c>
      <c r="Q690" s="77"/>
      <c r="R690" s="77"/>
      <c r="S690" s="77"/>
      <c r="T690" s="77"/>
      <c r="U690" s="77"/>
      <c r="V690" s="87"/>
      <c r="W690" s="87"/>
      <c r="X690" s="87"/>
      <c r="Y690" s="77"/>
      <c r="Z690" s="88"/>
      <c r="AA690" s="35"/>
      <c r="AB690" s="35"/>
    </row>
    <row r="691" spans="1:28" x14ac:dyDescent="0.25">
      <c r="A691" s="68" t="str">
        <f t="shared" si="33"/>
        <v>467079</v>
      </c>
      <c r="B691" s="10">
        <f t="shared" si="34"/>
        <v>1651.6116</v>
      </c>
      <c r="C691" s="77" t="s">
        <v>5307</v>
      </c>
      <c r="D691" s="191" t="str">
        <f t="shared" si="32"/>
        <v>StrongLumio profil Lucas narážecí 4000mm černá elox</v>
      </c>
      <c r="E691" s="77" t="s">
        <v>2998</v>
      </c>
      <c r="F691" s="77" t="s">
        <v>2999</v>
      </c>
      <c r="G691" s="77" t="s">
        <v>3001</v>
      </c>
      <c r="H691" s="77" t="s">
        <v>3000</v>
      </c>
      <c r="I691" s="77" t="s">
        <v>795</v>
      </c>
      <c r="J691" s="90">
        <v>20</v>
      </c>
      <c r="K691" s="91">
        <v>1</v>
      </c>
      <c r="L691" s="77" t="s">
        <v>6565</v>
      </c>
      <c r="M691" s="78">
        <v>1651.6116</v>
      </c>
      <c r="N691" s="79">
        <v>63.725760000000001</v>
      </c>
      <c r="O691" s="79">
        <v>196.8476</v>
      </c>
      <c r="P691" s="79">
        <v>23014.719990000001</v>
      </c>
      <c r="Q691" s="77"/>
      <c r="R691" s="77"/>
      <c r="S691" s="77"/>
      <c r="T691" s="77"/>
      <c r="U691" s="77"/>
      <c r="V691" s="87"/>
      <c r="W691" s="87"/>
      <c r="X691" s="87"/>
      <c r="Y691" s="77"/>
      <c r="Z691" s="88"/>
      <c r="AA691" s="35"/>
      <c r="AB691" s="35"/>
    </row>
    <row r="692" spans="1:28" x14ac:dyDescent="0.25">
      <c r="A692" s="68" t="str">
        <f t="shared" si="33"/>
        <v>546227</v>
      </c>
      <c r="B692" s="10">
        <f t="shared" si="34"/>
        <v>817.38779999999997</v>
      </c>
      <c r="C692" s="77" t="s">
        <v>5308</v>
      </c>
      <c r="D692" s="191" t="str">
        <f t="shared" si="32"/>
        <v>StrongLumio profil Lucas narážecí 4050mm surový</v>
      </c>
      <c r="E692" s="77" t="s">
        <v>3002</v>
      </c>
      <c r="F692" s="77" t="s">
        <v>3003</v>
      </c>
      <c r="G692" s="77" t="s">
        <v>3005</v>
      </c>
      <c r="H692" s="77" t="s">
        <v>3004</v>
      </c>
      <c r="I692" s="77" t="s">
        <v>795</v>
      </c>
      <c r="J692" s="90">
        <v>20</v>
      </c>
      <c r="K692" s="91">
        <v>1</v>
      </c>
      <c r="L692" s="77" t="s">
        <v>6565</v>
      </c>
      <c r="M692" s="78">
        <v>817.38779999999997</v>
      </c>
      <c r="N692" s="79">
        <v>31.538080000000001</v>
      </c>
      <c r="O692" s="79">
        <v>97.420490000000001</v>
      </c>
      <c r="P692" s="79">
        <v>10763.769990000001</v>
      </c>
      <c r="Q692" s="77"/>
      <c r="R692" s="77"/>
      <c r="S692" s="77"/>
      <c r="T692" s="77"/>
      <c r="U692" s="77"/>
      <c r="V692" s="87"/>
      <c r="W692" s="87"/>
      <c r="X692" s="87"/>
      <c r="Y692" s="77"/>
      <c r="Z692" s="88"/>
      <c r="AA692" s="35"/>
      <c r="AB692" s="35"/>
    </row>
    <row r="693" spans="1:28" x14ac:dyDescent="0.25">
      <c r="A693" s="68" t="str">
        <f t="shared" si="33"/>
        <v>359334</v>
      </c>
      <c r="B693" s="10">
        <f t="shared" si="34"/>
        <v>1225.6608000000001</v>
      </c>
      <c r="C693" s="77" t="s">
        <v>5309</v>
      </c>
      <c r="D693" s="191" t="str">
        <f t="shared" si="32"/>
        <v>StrongLumio profil Lucera narážecí, 2000mm bílá lak + těsnění</v>
      </c>
      <c r="E693" s="77" t="s">
        <v>3006</v>
      </c>
      <c r="F693" s="77" t="s">
        <v>3007</v>
      </c>
      <c r="G693" s="77" t="s">
        <v>3009</v>
      </c>
      <c r="H693" s="77" t="s">
        <v>3008</v>
      </c>
      <c r="I693" s="77" t="s">
        <v>795</v>
      </c>
      <c r="J693" s="90">
        <v>20</v>
      </c>
      <c r="K693" s="91">
        <v>1</v>
      </c>
      <c r="L693" s="77" t="s">
        <v>227</v>
      </c>
      <c r="M693" s="78">
        <v>1225.6608000000001</v>
      </c>
      <c r="N693" s="79">
        <v>47.290880000000001</v>
      </c>
      <c r="O693" s="79">
        <v>146.08058</v>
      </c>
      <c r="P693" s="79">
        <v>17078.189999999999</v>
      </c>
      <c r="Q693" s="77"/>
      <c r="R693" s="77"/>
      <c r="S693" s="77"/>
      <c r="T693" s="77"/>
      <c r="U693" s="77"/>
      <c r="V693" s="87"/>
      <c r="W693" s="87"/>
      <c r="X693" s="87"/>
      <c r="Y693" s="77"/>
      <c r="Z693" s="88"/>
      <c r="AA693" s="35"/>
      <c r="AB693" s="35"/>
    </row>
    <row r="694" spans="1:28" x14ac:dyDescent="0.25">
      <c r="A694" s="68" t="str">
        <f t="shared" si="33"/>
        <v>359333</v>
      </c>
      <c r="B694" s="10">
        <f t="shared" si="34"/>
        <v>1023.6288</v>
      </c>
      <c r="C694" s="77" t="s">
        <v>5310</v>
      </c>
      <c r="D694" s="191" t="str">
        <f t="shared" si="32"/>
        <v>StrongLumio profil Lucera narážecí, 2000mm stříbrná elox + těsnění</v>
      </c>
      <c r="E694" s="77" t="s">
        <v>3010</v>
      </c>
      <c r="F694" s="77" t="s">
        <v>3011</v>
      </c>
      <c r="G694" s="77" t="s">
        <v>3013</v>
      </c>
      <c r="H694" s="77" t="s">
        <v>3012</v>
      </c>
      <c r="I694" s="77" t="s">
        <v>795</v>
      </c>
      <c r="J694" s="90">
        <v>20</v>
      </c>
      <c r="K694" s="91">
        <v>1</v>
      </c>
      <c r="L694" s="77" t="s">
        <v>227</v>
      </c>
      <c r="M694" s="78">
        <v>1023.6288</v>
      </c>
      <c r="N694" s="79">
        <v>39.49568</v>
      </c>
      <c r="O694" s="79">
        <v>122.00136999999999</v>
      </c>
      <c r="P694" s="79">
        <v>14262.3</v>
      </c>
      <c r="Q694" s="77"/>
      <c r="R694" s="77"/>
      <c r="S694" s="77"/>
      <c r="T694" s="77"/>
      <c r="U694" s="77"/>
      <c r="V694" s="87"/>
      <c r="W694" s="87"/>
      <c r="X694" s="87"/>
      <c r="Y694" s="77"/>
      <c r="Z694" s="88"/>
      <c r="AA694" s="35"/>
      <c r="AB694" s="35"/>
    </row>
    <row r="695" spans="1:28" x14ac:dyDescent="0.25">
      <c r="A695" s="68" t="str">
        <f t="shared" si="33"/>
        <v>359427</v>
      </c>
      <c r="B695" s="10">
        <f t="shared" si="34"/>
        <v>2357.04</v>
      </c>
      <c r="C695" s="77" t="s">
        <v>5311</v>
      </c>
      <c r="D695" s="191" t="str">
        <f t="shared" si="32"/>
        <v>StrongLumio profil Lucera narážecí, 4000mm bílá lak + těsnění</v>
      </c>
      <c r="E695" s="77" t="s">
        <v>3014</v>
      </c>
      <c r="F695" s="77" t="s">
        <v>3015</v>
      </c>
      <c r="G695" s="77" t="s">
        <v>3017</v>
      </c>
      <c r="H695" s="77" t="s">
        <v>3016</v>
      </c>
      <c r="I695" s="77" t="s">
        <v>795</v>
      </c>
      <c r="J695" s="90">
        <v>20</v>
      </c>
      <c r="K695" s="91">
        <v>1</v>
      </c>
      <c r="L695" s="77" t="s">
        <v>227</v>
      </c>
      <c r="M695" s="78">
        <v>2357.04</v>
      </c>
      <c r="N695" s="79">
        <v>90.944000000000003</v>
      </c>
      <c r="O695" s="79">
        <v>280.92419999999998</v>
      </c>
      <c r="P695" s="79">
        <v>32839.86</v>
      </c>
      <c r="Q695" s="77"/>
      <c r="R695" s="77"/>
      <c r="S695" s="77"/>
      <c r="T695" s="77"/>
      <c r="U695" s="77"/>
      <c r="V695" s="87"/>
      <c r="W695" s="87"/>
      <c r="X695" s="87"/>
      <c r="Y695" s="77"/>
      <c r="Z695" s="88"/>
      <c r="AA695" s="35"/>
      <c r="AB695" s="35"/>
    </row>
    <row r="696" spans="1:28" x14ac:dyDescent="0.25">
      <c r="A696" s="68" t="str">
        <f t="shared" si="33"/>
        <v>359426</v>
      </c>
      <c r="B696" s="10">
        <f t="shared" si="34"/>
        <v>2069.9861999999998</v>
      </c>
      <c r="C696" s="77" t="s">
        <v>5312</v>
      </c>
      <c r="D696" s="191" t="str">
        <f t="shared" si="32"/>
        <v>StrongLumio profil Lucera narážecí, 4000mm stříbrná elox + těsnění</v>
      </c>
      <c r="E696" s="77" t="s">
        <v>3018</v>
      </c>
      <c r="F696" s="77" t="s">
        <v>3019</v>
      </c>
      <c r="G696" s="77" t="s">
        <v>3021</v>
      </c>
      <c r="H696" s="77" t="s">
        <v>3020</v>
      </c>
      <c r="I696" s="77" t="s">
        <v>795</v>
      </c>
      <c r="J696" s="90">
        <v>20</v>
      </c>
      <c r="K696" s="91">
        <v>1</v>
      </c>
      <c r="L696" s="77" t="s">
        <v>227</v>
      </c>
      <c r="M696" s="78">
        <v>2069.9861999999998</v>
      </c>
      <c r="N696" s="79">
        <v>79.868319999999997</v>
      </c>
      <c r="O696" s="79">
        <v>246.71163000000001</v>
      </c>
      <c r="P696" s="79">
        <v>28841.540010000001</v>
      </c>
      <c r="Q696" s="77"/>
      <c r="R696" s="77"/>
      <c r="S696" s="77"/>
      <c r="T696" s="77"/>
      <c r="U696" s="77"/>
      <c r="V696" s="87"/>
      <c r="W696" s="87"/>
      <c r="X696" s="87"/>
      <c r="Y696" s="77"/>
      <c r="Z696" s="88"/>
      <c r="AA696" s="35"/>
      <c r="AB696" s="35"/>
    </row>
    <row r="697" spans="1:28" x14ac:dyDescent="0.25">
      <c r="A697" s="68" t="str">
        <f t="shared" si="33"/>
        <v>487571</v>
      </c>
      <c r="B697" s="10">
        <f t="shared" si="34"/>
        <v>62.727209999999999</v>
      </c>
      <c r="C697" s="77" t="s">
        <v>5313</v>
      </c>
      <c r="D697" s="191" t="str">
        <f t="shared" si="32"/>
        <v>StrongLumio propojovací kabel k All in one jednotce - CCT</v>
      </c>
      <c r="E697" s="77" t="s">
        <v>3022</v>
      </c>
      <c r="F697" s="77" t="s">
        <v>3023</v>
      </c>
      <c r="G697" s="77" t="s">
        <v>3025</v>
      </c>
      <c r="H697" s="77" t="s">
        <v>3024</v>
      </c>
      <c r="I697" s="77" t="s">
        <v>795</v>
      </c>
      <c r="J697" s="90">
        <v>100</v>
      </c>
      <c r="K697" s="91">
        <v>1</v>
      </c>
      <c r="L697" s="77" t="s">
        <v>227</v>
      </c>
      <c r="M697" s="78">
        <v>62.727209999999999</v>
      </c>
      <c r="N697" s="79">
        <v>2.8014199999999998</v>
      </c>
      <c r="O697" s="79">
        <v>8.3193800000000007</v>
      </c>
      <c r="P697" s="79">
        <v>971.51215999999999</v>
      </c>
      <c r="Q697" s="77"/>
      <c r="R697" s="77"/>
      <c r="S697" s="77"/>
      <c r="T697" s="77"/>
      <c r="U697" s="77"/>
      <c r="V697" s="87"/>
      <c r="W697" s="87"/>
      <c r="X697" s="87"/>
      <c r="Y697" s="77"/>
      <c r="Z697" s="88"/>
      <c r="AA697" s="35"/>
      <c r="AB697" s="35"/>
    </row>
    <row r="698" spans="1:28" x14ac:dyDescent="0.25">
      <c r="A698" s="68" t="str">
        <f t="shared" si="33"/>
        <v>487576</v>
      </c>
      <c r="B698" s="10">
        <f t="shared" si="34"/>
        <v>62.727209999999999</v>
      </c>
      <c r="C698" s="77" t="s">
        <v>5314</v>
      </c>
      <c r="D698" s="191" t="str">
        <f t="shared" si="32"/>
        <v>StrongLumio propojovací kabel k All in One jednotce - CCT COB</v>
      </c>
      <c r="E698" s="77" t="s">
        <v>3026</v>
      </c>
      <c r="F698" s="77" t="s">
        <v>3027</v>
      </c>
      <c r="G698" s="77" t="s">
        <v>3029</v>
      </c>
      <c r="H698" s="77" t="s">
        <v>3028</v>
      </c>
      <c r="I698" s="77" t="s">
        <v>795</v>
      </c>
      <c r="J698" s="90">
        <v>100</v>
      </c>
      <c r="K698" s="91">
        <v>1</v>
      </c>
      <c r="L698" s="77" t="s">
        <v>227</v>
      </c>
      <c r="M698" s="78">
        <v>62.727209999999999</v>
      </c>
      <c r="N698" s="79">
        <v>2.8014199999999998</v>
      </c>
      <c r="O698" s="79">
        <v>9.2606000000000002</v>
      </c>
      <c r="P698" s="79">
        <v>971.51215999999999</v>
      </c>
      <c r="Q698" s="77"/>
      <c r="R698" s="77"/>
      <c r="S698" s="77"/>
      <c r="T698" s="77"/>
      <c r="U698" s="77"/>
      <c r="V698" s="87"/>
      <c r="W698" s="87"/>
      <c r="X698" s="87"/>
      <c r="Y698" s="77"/>
      <c r="Z698" s="88"/>
      <c r="AA698" s="35"/>
      <c r="AB698" s="35"/>
    </row>
    <row r="699" spans="1:28" x14ac:dyDescent="0.25">
      <c r="A699" s="68" t="str">
        <f t="shared" si="33"/>
        <v>487570</v>
      </c>
      <c r="B699" s="10">
        <f t="shared" si="34"/>
        <v>52.727220000000003</v>
      </c>
      <c r="C699" s="77" t="s">
        <v>5315</v>
      </c>
      <c r="D699" s="191" t="str">
        <f t="shared" si="32"/>
        <v>StrongLumio propojovací kabel k All in One jednotce - jednobarevné LED</v>
      </c>
      <c r="E699" s="77" t="s">
        <v>3030</v>
      </c>
      <c r="F699" s="77" t="s">
        <v>3031</v>
      </c>
      <c r="G699" s="77" t="s">
        <v>3033</v>
      </c>
      <c r="H699" s="77" t="s">
        <v>3032</v>
      </c>
      <c r="I699" s="77" t="s">
        <v>795</v>
      </c>
      <c r="J699" s="90">
        <v>100</v>
      </c>
      <c r="K699" s="91">
        <v>1</v>
      </c>
      <c r="L699" s="77" t="s">
        <v>227</v>
      </c>
      <c r="M699" s="78">
        <v>52.727220000000003</v>
      </c>
      <c r="N699" s="79">
        <v>2.3548300000000002</v>
      </c>
      <c r="O699" s="79">
        <v>7.8303700000000003</v>
      </c>
      <c r="P699" s="79">
        <v>816.63341000000003</v>
      </c>
      <c r="Q699" s="77"/>
      <c r="R699" s="77"/>
      <c r="S699" s="77"/>
      <c r="T699" s="77"/>
      <c r="U699" s="77"/>
      <c r="V699" s="87"/>
      <c r="W699" s="87"/>
      <c r="X699" s="87"/>
      <c r="Y699" s="77"/>
      <c r="Z699" s="88"/>
      <c r="AA699" s="35"/>
      <c r="AB699" s="35"/>
    </row>
    <row r="700" spans="1:28" x14ac:dyDescent="0.25">
      <c r="A700" s="68" t="str">
        <f t="shared" si="33"/>
        <v>487575</v>
      </c>
      <c r="B700" s="10">
        <f t="shared" si="34"/>
        <v>52.727220000000003</v>
      </c>
      <c r="C700" s="77" t="s">
        <v>5316</v>
      </c>
      <c r="D700" s="191" t="str">
        <f t="shared" si="32"/>
        <v>StrongLumio propojovací kabel k All in One jednotce - jednobarevné LED COB</v>
      </c>
      <c r="E700" s="77" t="s">
        <v>3034</v>
      </c>
      <c r="F700" s="77" t="s">
        <v>3035</v>
      </c>
      <c r="G700" s="77" t="s">
        <v>3037</v>
      </c>
      <c r="H700" s="77" t="s">
        <v>3036</v>
      </c>
      <c r="I700" s="77" t="s">
        <v>795</v>
      </c>
      <c r="J700" s="90">
        <v>100</v>
      </c>
      <c r="K700" s="91">
        <v>1</v>
      </c>
      <c r="L700" s="77" t="s">
        <v>227</v>
      </c>
      <c r="M700" s="78">
        <v>52.727220000000003</v>
      </c>
      <c r="N700" s="79">
        <v>2.3548300000000002</v>
      </c>
      <c r="O700" s="79">
        <v>7.47539</v>
      </c>
      <c r="P700" s="79">
        <v>816.63341000000003</v>
      </c>
      <c r="Q700" s="77"/>
      <c r="R700" s="77"/>
      <c r="S700" s="77"/>
      <c r="T700" s="77"/>
      <c r="U700" s="77"/>
      <c r="V700" s="87"/>
      <c r="W700" s="87"/>
      <c r="X700" s="87"/>
      <c r="Y700" s="77"/>
      <c r="Z700" s="88"/>
      <c r="AA700" s="35"/>
      <c r="AB700" s="35"/>
    </row>
    <row r="701" spans="1:28" x14ac:dyDescent="0.25">
      <c r="A701" s="68" t="str">
        <f t="shared" si="33"/>
        <v>487572</v>
      </c>
      <c r="B701" s="10">
        <f t="shared" si="34"/>
        <v>68.360460000000003</v>
      </c>
      <c r="C701" s="77" t="s">
        <v>5317</v>
      </c>
      <c r="D701" s="191" t="str">
        <f t="shared" si="32"/>
        <v>StrongLumio propojovací kabel k All in One jednotce - RGB</v>
      </c>
      <c r="E701" s="77" t="s">
        <v>3038</v>
      </c>
      <c r="F701" s="77" t="s">
        <v>3039</v>
      </c>
      <c r="G701" s="77" t="s">
        <v>3041</v>
      </c>
      <c r="H701" s="77" t="s">
        <v>3040</v>
      </c>
      <c r="I701" s="77" t="s">
        <v>795</v>
      </c>
      <c r="J701" s="90">
        <v>100</v>
      </c>
      <c r="K701" s="91">
        <v>1</v>
      </c>
      <c r="L701" s="77" t="s">
        <v>227</v>
      </c>
      <c r="M701" s="78">
        <v>68.360460000000003</v>
      </c>
      <c r="N701" s="79">
        <v>3.36985</v>
      </c>
      <c r="O701" s="79">
        <v>10.45218</v>
      </c>
      <c r="P701" s="79">
        <v>1168.63057</v>
      </c>
      <c r="Q701" s="77"/>
      <c r="R701" s="77"/>
      <c r="S701" s="77"/>
      <c r="T701" s="77"/>
      <c r="U701" s="77"/>
      <c r="V701" s="87"/>
      <c r="W701" s="87"/>
      <c r="X701" s="87"/>
      <c r="Y701" s="77"/>
      <c r="Z701" s="88"/>
      <c r="AA701" s="35"/>
      <c r="AB701" s="35"/>
    </row>
    <row r="702" spans="1:28" x14ac:dyDescent="0.25">
      <c r="A702" s="68" t="str">
        <f t="shared" si="33"/>
        <v>487577</v>
      </c>
      <c r="B702" s="10">
        <f t="shared" si="34"/>
        <v>68.360460000000003</v>
      </c>
      <c r="C702" s="77" t="s">
        <v>5318</v>
      </c>
      <c r="D702" s="191" t="str">
        <f t="shared" si="32"/>
        <v>StrongLumio propojovací kabel k All in One jednotce - RGB COB</v>
      </c>
      <c r="E702" s="77" t="s">
        <v>3042</v>
      </c>
      <c r="F702" s="77" t="s">
        <v>3043</v>
      </c>
      <c r="G702" s="77" t="s">
        <v>3045</v>
      </c>
      <c r="H702" s="77" t="s">
        <v>3044</v>
      </c>
      <c r="I702" s="77" t="s">
        <v>795</v>
      </c>
      <c r="J702" s="90">
        <v>100</v>
      </c>
      <c r="K702" s="91">
        <v>1</v>
      </c>
      <c r="L702" s="77" t="s">
        <v>227</v>
      </c>
      <c r="M702" s="78">
        <v>68.360460000000003</v>
      </c>
      <c r="N702" s="79">
        <v>3.36985</v>
      </c>
      <c r="O702" s="79">
        <v>10.013999999999999</v>
      </c>
      <c r="P702" s="79">
        <v>1168.63057</v>
      </c>
      <c r="Q702" s="77"/>
      <c r="R702" s="77"/>
      <c r="S702" s="77"/>
      <c r="T702" s="77"/>
      <c r="U702" s="77"/>
      <c r="V702" s="87"/>
      <c r="W702" s="87"/>
      <c r="X702" s="87"/>
      <c r="Y702" s="77"/>
      <c r="Z702" s="88"/>
      <c r="AA702" s="35"/>
      <c r="AB702" s="35"/>
    </row>
    <row r="703" spans="1:28" x14ac:dyDescent="0.25">
      <c r="A703" s="68" t="str">
        <f t="shared" si="33"/>
        <v>487574</v>
      </c>
      <c r="B703" s="10">
        <f t="shared" si="34"/>
        <v>113.63625</v>
      </c>
      <c r="C703" s="77" t="s">
        <v>5319</v>
      </c>
      <c r="D703" s="191" t="str">
        <f t="shared" si="32"/>
        <v>StrongLumio propojovací kabel k All in One jednotce - RGBCCT 2m</v>
      </c>
      <c r="E703" s="77" t="s">
        <v>3046</v>
      </c>
      <c r="F703" s="77" t="s">
        <v>3047</v>
      </c>
      <c r="G703" s="77" t="s">
        <v>3049</v>
      </c>
      <c r="H703" s="77" t="s">
        <v>3048</v>
      </c>
      <c r="I703" s="77" t="s">
        <v>795</v>
      </c>
      <c r="J703" s="90">
        <v>100</v>
      </c>
      <c r="K703" s="91">
        <v>1</v>
      </c>
      <c r="L703" s="77" t="s">
        <v>227</v>
      </c>
      <c r="M703" s="78">
        <v>113.63625</v>
      </c>
      <c r="N703" s="79">
        <v>5.0751099999999996</v>
      </c>
      <c r="O703" s="79">
        <v>15.07329</v>
      </c>
      <c r="P703" s="79">
        <v>1759.9858099999999</v>
      </c>
      <c r="Q703" s="77"/>
      <c r="R703" s="77"/>
      <c r="S703" s="77"/>
      <c r="T703" s="77"/>
      <c r="U703" s="77"/>
      <c r="V703" s="87"/>
      <c r="W703" s="87"/>
      <c r="X703" s="87"/>
      <c r="Y703" s="77"/>
      <c r="Z703" s="88"/>
      <c r="AA703" s="35"/>
      <c r="AB703" s="35"/>
    </row>
    <row r="704" spans="1:28" x14ac:dyDescent="0.25">
      <c r="A704" s="68" t="str">
        <f t="shared" si="33"/>
        <v>487573</v>
      </c>
      <c r="B704" s="10">
        <f t="shared" si="34"/>
        <v>90.909000000000006</v>
      </c>
      <c r="C704" s="77" t="s">
        <v>5320</v>
      </c>
      <c r="D704" s="191" t="str">
        <f t="shared" si="32"/>
        <v>StrongLumio propojovací kabel k All in One jednotce - RGBW</v>
      </c>
      <c r="E704" s="77" t="s">
        <v>3050</v>
      </c>
      <c r="F704" s="77" t="s">
        <v>3051</v>
      </c>
      <c r="G704" s="77" t="s">
        <v>3053</v>
      </c>
      <c r="H704" s="77" t="s">
        <v>3052</v>
      </c>
      <c r="I704" s="77" t="s">
        <v>795</v>
      </c>
      <c r="J704" s="90">
        <v>100</v>
      </c>
      <c r="K704" s="91">
        <v>1</v>
      </c>
      <c r="L704" s="77" t="s">
        <v>227</v>
      </c>
      <c r="M704" s="78">
        <v>90.909000000000006</v>
      </c>
      <c r="N704" s="79">
        <v>4.0600800000000001</v>
      </c>
      <c r="O704" s="79">
        <v>12.051209999999999</v>
      </c>
      <c r="P704" s="79">
        <v>1407.98865</v>
      </c>
      <c r="Q704" s="77"/>
      <c r="R704" s="77"/>
      <c r="S704" s="77"/>
      <c r="T704" s="77"/>
      <c r="U704" s="77"/>
      <c r="V704" s="87"/>
      <c r="W704" s="87"/>
      <c r="X704" s="87"/>
      <c r="Y704" s="77"/>
      <c r="Z704" s="88"/>
      <c r="AA704" s="35"/>
      <c r="AB704" s="35"/>
    </row>
    <row r="705" spans="1:28" x14ac:dyDescent="0.25">
      <c r="A705" s="68" t="str">
        <f t="shared" si="33"/>
        <v>342541</v>
      </c>
      <c r="B705" s="10">
        <f t="shared" si="34"/>
        <v>46.363590000000002</v>
      </c>
      <c r="C705" s="77" t="s">
        <v>5321</v>
      </c>
      <c r="D705" s="191" t="str">
        <f t="shared" si="32"/>
        <v>StrongLumio propojovací kabel kulatý konektor (Jack), Mini (fem)</v>
      </c>
      <c r="E705" s="77" t="s">
        <v>3054</v>
      </c>
      <c r="F705" s="77" t="s">
        <v>3055</v>
      </c>
      <c r="G705" s="77" t="s">
        <v>3057</v>
      </c>
      <c r="H705" s="77" t="s">
        <v>3056</v>
      </c>
      <c r="I705" s="77" t="s">
        <v>795</v>
      </c>
      <c r="J705" s="90">
        <v>1</v>
      </c>
      <c r="K705" s="91">
        <v>1</v>
      </c>
      <c r="L705" s="77" t="s">
        <v>276</v>
      </c>
      <c r="M705" s="78">
        <v>46.363590000000002</v>
      </c>
      <c r="N705" s="79">
        <v>2.07063</v>
      </c>
      <c r="O705" s="79">
        <v>5.8965899999999998</v>
      </c>
      <c r="P705" s="79">
        <v>718.07421999999997</v>
      </c>
      <c r="Q705" s="77"/>
      <c r="R705" s="77"/>
      <c r="S705" s="77"/>
      <c r="T705" s="77"/>
      <c r="U705" s="77"/>
      <c r="V705" s="87"/>
      <c r="W705" s="87"/>
      <c r="X705" s="87"/>
      <c r="Y705" s="77"/>
      <c r="Z705" s="88"/>
      <c r="AA705" s="35"/>
      <c r="AB705" s="35"/>
    </row>
    <row r="706" spans="1:28" x14ac:dyDescent="0.25">
      <c r="A706" s="68" t="str">
        <f t="shared" si="33"/>
        <v>546610</v>
      </c>
      <c r="B706" s="10">
        <f t="shared" si="34"/>
        <v>177.90191999999999</v>
      </c>
      <c r="C706" s="77" t="s">
        <v>5322</v>
      </c>
      <c r="D706" s="191" t="str">
        <f t="shared" si="32"/>
        <v>StrongLumio přijímač pro bezdrátové nabíjecí senzory 3PIN</v>
      </c>
      <c r="E706" s="77" t="s">
        <v>3058</v>
      </c>
      <c r="F706" s="77" t="s">
        <v>3059</v>
      </c>
      <c r="G706" s="77" t="s">
        <v>3061</v>
      </c>
      <c r="H706" s="77" t="s">
        <v>3060</v>
      </c>
      <c r="I706" s="77" t="s">
        <v>795</v>
      </c>
      <c r="J706" s="90">
        <v>1</v>
      </c>
      <c r="K706" s="91">
        <v>1</v>
      </c>
      <c r="L706" s="77" t="s">
        <v>227</v>
      </c>
      <c r="M706" s="78">
        <v>177.90191999999999</v>
      </c>
      <c r="N706" s="79">
        <v>8.1577199999999994</v>
      </c>
      <c r="O706" s="79">
        <v>26.51576</v>
      </c>
      <c r="P706" s="79">
        <v>2668.68</v>
      </c>
      <c r="Q706" s="77"/>
      <c r="R706" s="77"/>
      <c r="S706" s="77"/>
      <c r="T706" s="77"/>
      <c r="U706" s="77"/>
      <c r="V706" s="87"/>
      <c r="W706" s="87"/>
      <c r="X706" s="87"/>
      <c r="Y706" s="77"/>
      <c r="Z706" s="88"/>
      <c r="AA706" s="35"/>
      <c r="AB706" s="35"/>
    </row>
    <row r="707" spans="1:28" x14ac:dyDescent="0.25">
      <c r="A707" s="68" t="str">
        <f t="shared" si="33"/>
        <v>546611</v>
      </c>
      <c r="B707" s="10">
        <f t="shared" si="34"/>
        <v>214.1412</v>
      </c>
      <c r="C707" s="77" t="s">
        <v>5323</v>
      </c>
      <c r="D707" s="191" t="str">
        <f t="shared" ref="D707:D770" si="35">IF($B$1=1,E707,IF($B$1=2,F707,IF($B$1=3,G707,IF($B$1=4,H707))))</f>
        <v>StrongLumio přijímač pro bezdrátové nabíjecí senzory Jack/6x Mini</v>
      </c>
      <c r="E707" s="77" t="s">
        <v>3062</v>
      </c>
      <c r="F707" s="77" t="s">
        <v>3063</v>
      </c>
      <c r="G707" s="77" t="s">
        <v>3065</v>
      </c>
      <c r="H707" s="77" t="s">
        <v>3064</v>
      </c>
      <c r="I707" s="77" t="s">
        <v>795</v>
      </c>
      <c r="J707" s="90">
        <v>1</v>
      </c>
      <c r="K707" s="91">
        <v>1</v>
      </c>
      <c r="L707" s="77" t="s">
        <v>227</v>
      </c>
      <c r="M707" s="78">
        <v>214.1412</v>
      </c>
      <c r="N707" s="79">
        <v>9.8194999999999997</v>
      </c>
      <c r="O707" s="79">
        <v>31.917110000000001</v>
      </c>
      <c r="P707" s="79">
        <v>3212.3</v>
      </c>
      <c r="Q707" s="77"/>
      <c r="R707" s="77"/>
      <c r="S707" s="77"/>
      <c r="T707" s="77"/>
      <c r="U707" s="77"/>
      <c r="V707" s="87"/>
      <c r="W707" s="87"/>
      <c r="X707" s="87"/>
      <c r="Y707" s="77"/>
      <c r="Z707" s="88"/>
      <c r="AA707" s="35"/>
      <c r="AB707" s="35"/>
    </row>
    <row r="708" spans="1:28" x14ac:dyDescent="0.25">
      <c r="A708" s="68" t="str">
        <f t="shared" si="33"/>
        <v>467133</v>
      </c>
      <c r="B708" s="10">
        <f t="shared" si="34"/>
        <v>1220.6376</v>
      </c>
      <c r="C708" s="77" t="s">
        <v>5324</v>
      </c>
      <c r="D708" s="191" t="str">
        <f t="shared" si="35"/>
        <v>StrongLumio přijímač pro bezdrátové samonapájecí vypínače 12/24V (Wi-fi)</v>
      </c>
      <c r="E708" s="77" t="s">
        <v>6571</v>
      </c>
      <c r="F708" s="77" t="s">
        <v>6572</v>
      </c>
      <c r="G708" s="77" t="s">
        <v>6573</v>
      </c>
      <c r="H708" s="77" t="s">
        <v>6574</v>
      </c>
      <c r="I708" s="77" t="s">
        <v>795</v>
      </c>
      <c r="J708" s="90">
        <v>1</v>
      </c>
      <c r="K708" s="91">
        <v>1</v>
      </c>
      <c r="L708" s="77" t="s">
        <v>227</v>
      </c>
      <c r="M708" s="78">
        <v>1220.6376</v>
      </c>
      <c r="N708" s="79">
        <v>46.593649999999997</v>
      </c>
      <c r="O708" s="79">
        <v>108.26863</v>
      </c>
      <c r="P708" s="79">
        <v>15097.558429999999</v>
      </c>
      <c r="Q708" s="77"/>
      <c r="R708" s="77"/>
      <c r="S708" s="77"/>
      <c r="T708" s="77"/>
      <c r="U708" s="77"/>
      <c r="V708" s="87"/>
      <c r="W708" s="87"/>
      <c r="X708" s="87"/>
      <c r="Y708" s="77"/>
      <c r="Z708" s="88"/>
      <c r="AA708" s="35"/>
      <c r="AB708" s="35"/>
    </row>
    <row r="709" spans="1:28" x14ac:dyDescent="0.25">
      <c r="A709" s="68" t="str">
        <f t="shared" si="33"/>
        <v>546641</v>
      </c>
      <c r="B709" s="10">
        <f t="shared" si="34"/>
        <v>750.07295999999997</v>
      </c>
      <c r="C709" s="77" t="s">
        <v>5325</v>
      </c>
      <c r="D709" s="191" t="str">
        <f t="shared" si="35"/>
        <v>StrongLumio přijímač pro bezdrátové samonapájecí vypínače 12/24V 2PIN CCT</v>
      </c>
      <c r="E709" s="77" t="s">
        <v>3066</v>
      </c>
      <c r="F709" s="77" t="s">
        <v>3067</v>
      </c>
      <c r="G709" s="77" t="s">
        <v>3069</v>
      </c>
      <c r="H709" s="77" t="s">
        <v>3068</v>
      </c>
      <c r="I709" s="77" t="s">
        <v>795</v>
      </c>
      <c r="J709" s="90">
        <v>1</v>
      </c>
      <c r="K709" s="91">
        <v>1</v>
      </c>
      <c r="L709" s="77" t="s">
        <v>227</v>
      </c>
      <c r="M709" s="78">
        <v>750.07295999999997</v>
      </c>
      <c r="N709" s="79">
        <v>29.397349999999999</v>
      </c>
      <c r="O709" s="79">
        <v>83.672619999999995</v>
      </c>
      <c r="P709" s="79">
        <v>8985.6</v>
      </c>
      <c r="Q709" s="77"/>
      <c r="R709" s="77"/>
      <c r="S709" s="77"/>
      <c r="T709" s="77"/>
      <c r="U709" s="77"/>
      <c r="V709" s="87"/>
      <c r="W709" s="87"/>
      <c r="X709" s="87"/>
      <c r="Y709" s="77"/>
      <c r="Z709" s="88"/>
      <c r="AA709" s="35"/>
      <c r="AB709" s="35"/>
    </row>
    <row r="710" spans="1:28" x14ac:dyDescent="0.25">
      <c r="A710" s="68" t="str">
        <f t="shared" si="33"/>
        <v>546639</v>
      </c>
      <c r="B710" s="10">
        <f t="shared" si="34"/>
        <v>346.18752000000001</v>
      </c>
      <c r="C710" s="77" t="s">
        <v>5326</v>
      </c>
      <c r="D710" s="191" t="str">
        <f t="shared" si="35"/>
        <v>StrongLumio přijímač pro bezdrátové samonapájecí vypínače 12/24V 3PIN</v>
      </c>
      <c r="E710" s="77" t="s">
        <v>3070</v>
      </c>
      <c r="F710" s="77" t="s">
        <v>3071</v>
      </c>
      <c r="G710" s="77" t="s">
        <v>3073</v>
      </c>
      <c r="H710" s="77" t="s">
        <v>3072</v>
      </c>
      <c r="I710" s="77" t="s">
        <v>795</v>
      </c>
      <c r="J710" s="90">
        <v>1</v>
      </c>
      <c r="K710" s="91">
        <v>1</v>
      </c>
      <c r="L710" s="77" t="s">
        <v>227</v>
      </c>
      <c r="M710" s="78">
        <v>346.18752000000001</v>
      </c>
      <c r="N710" s="79">
        <v>13.568</v>
      </c>
      <c r="O710" s="79">
        <v>38.611780000000003</v>
      </c>
      <c r="P710" s="79">
        <v>4147.2</v>
      </c>
      <c r="Q710" s="77"/>
      <c r="R710" s="77"/>
      <c r="S710" s="77"/>
      <c r="T710" s="77"/>
      <c r="U710" s="77"/>
      <c r="V710" s="87"/>
      <c r="W710" s="87"/>
      <c r="X710" s="87"/>
      <c r="Y710" s="77"/>
      <c r="Z710" s="88"/>
      <c r="AA710" s="35"/>
      <c r="AB710" s="35"/>
    </row>
    <row r="711" spans="1:28" x14ac:dyDescent="0.25">
      <c r="A711" s="68" t="str">
        <f t="shared" si="33"/>
        <v>469139</v>
      </c>
      <c r="B711" s="10">
        <f t="shared" si="34"/>
        <v>1294.9372800000001</v>
      </c>
      <c r="C711" s="77" t="s">
        <v>5327</v>
      </c>
      <c r="D711" s="191" t="str">
        <f t="shared" si="35"/>
        <v>StrongLumio přijímač pro bezdrátové samonapájecí vypínače 230V</v>
      </c>
      <c r="E711" s="77" t="s">
        <v>3074</v>
      </c>
      <c r="F711" s="77" t="s">
        <v>3075</v>
      </c>
      <c r="G711" s="77" t="s">
        <v>3077</v>
      </c>
      <c r="H711" s="77" t="s">
        <v>3076</v>
      </c>
      <c r="I711" s="77" t="s">
        <v>795</v>
      </c>
      <c r="J711" s="90">
        <v>1</v>
      </c>
      <c r="K711" s="91">
        <v>1</v>
      </c>
      <c r="L711" s="77" t="s">
        <v>227</v>
      </c>
      <c r="M711" s="78">
        <v>1294.9372800000001</v>
      </c>
      <c r="N711" s="79">
        <v>49.4298</v>
      </c>
      <c r="O711" s="79">
        <v>129.69802000000001</v>
      </c>
      <c r="P711" s="79">
        <v>16016.54026</v>
      </c>
      <c r="Q711" s="77"/>
      <c r="R711" s="77"/>
      <c r="S711" s="77"/>
      <c r="T711" s="77"/>
      <c r="U711" s="77"/>
      <c r="V711" s="87"/>
      <c r="W711" s="87"/>
      <c r="X711" s="87"/>
      <c r="Y711" s="77"/>
      <c r="Z711" s="88"/>
      <c r="AA711" s="35"/>
      <c r="AB711" s="35"/>
    </row>
    <row r="712" spans="1:28" x14ac:dyDescent="0.25">
      <c r="A712" s="68" t="str">
        <f t="shared" si="33"/>
        <v>535062</v>
      </c>
      <c r="B712" s="10">
        <f t="shared" si="34"/>
        <v>689.92560000000003</v>
      </c>
      <c r="C712" s="77" t="s">
        <v>5328</v>
      </c>
      <c r="D712" s="191" t="str">
        <f t="shared" si="35"/>
        <v>StrongLumio přijímač/rozvaděč pro bezdrátové samonapájecí vypínače 12/24V</v>
      </c>
      <c r="E712" s="77" t="s">
        <v>201</v>
      </c>
      <c r="F712" s="77" t="s">
        <v>3078</v>
      </c>
      <c r="G712" s="77" t="s">
        <v>3079</v>
      </c>
      <c r="H712" s="77" t="s">
        <v>6474</v>
      </c>
      <c r="I712" s="77" t="s">
        <v>795</v>
      </c>
      <c r="J712" s="90">
        <v>280</v>
      </c>
      <c r="K712" s="91">
        <v>1</v>
      </c>
      <c r="L712" s="77" t="s">
        <v>227</v>
      </c>
      <c r="M712" s="78">
        <v>689.92560000000003</v>
      </c>
      <c r="N712" s="79">
        <v>26.335550000000001</v>
      </c>
      <c r="O712" s="79">
        <v>69.869060000000005</v>
      </c>
      <c r="P712" s="79">
        <v>8533.4025899999997</v>
      </c>
      <c r="Q712" s="77"/>
      <c r="R712" s="77"/>
      <c r="S712" s="77"/>
      <c r="T712" s="77"/>
      <c r="U712" s="77"/>
      <c r="V712" s="87"/>
      <c r="W712" s="87"/>
      <c r="X712" s="87"/>
      <c r="Y712" s="77"/>
      <c r="Z712" s="88"/>
      <c r="AA712" s="35"/>
      <c r="AB712" s="35"/>
    </row>
    <row r="713" spans="1:28" x14ac:dyDescent="0.25">
      <c r="A713" s="68" t="str">
        <f t="shared" si="33"/>
        <v>543616</v>
      </c>
      <c r="B713" s="10">
        <f t="shared" si="34"/>
        <v>47.769959999999998</v>
      </c>
      <c r="C713" s="77" t="s">
        <v>5329</v>
      </c>
      <c r="D713" s="191" t="str">
        <f t="shared" si="35"/>
        <v>StrongLumio připojovací kabel 2m Mini konektor (285094)</v>
      </c>
      <c r="E713" s="77" t="s">
        <v>6475</v>
      </c>
      <c r="F713" s="77" t="s">
        <v>6476</v>
      </c>
      <c r="G713" s="77" t="s">
        <v>6478</v>
      </c>
      <c r="H713" s="77" t="s">
        <v>6477</v>
      </c>
      <c r="I713" s="77" t="s">
        <v>795</v>
      </c>
      <c r="J713" s="90">
        <v>1000</v>
      </c>
      <c r="K713" s="91">
        <v>1</v>
      </c>
      <c r="L713" s="77" t="s">
        <v>227</v>
      </c>
      <c r="M713" s="78">
        <v>47.769959999999998</v>
      </c>
      <c r="N713" s="79">
        <v>2.1815199999999999</v>
      </c>
      <c r="O713" s="79">
        <v>6.5392299999999999</v>
      </c>
      <c r="P713" s="79">
        <v>570.80100000000004</v>
      </c>
      <c r="Q713" s="77"/>
      <c r="R713" s="77"/>
      <c r="S713" s="77"/>
      <c r="T713" s="77"/>
      <c r="U713" s="77"/>
      <c r="V713" s="87"/>
      <c r="W713" s="87"/>
      <c r="X713" s="87"/>
      <c r="Y713" s="77"/>
      <c r="Z713" s="88"/>
      <c r="AA713" s="35"/>
      <c r="AB713" s="35"/>
    </row>
    <row r="714" spans="1:28" x14ac:dyDescent="0.25">
      <c r="A714" s="68" t="str">
        <f t="shared" si="33"/>
        <v>405189</v>
      </c>
      <c r="B714" s="10">
        <f t="shared" si="34"/>
        <v>22.571639999999999</v>
      </c>
      <c r="C714" s="77" t="s">
        <v>5330</v>
      </c>
      <c r="D714" s="191" t="str">
        <f t="shared" si="35"/>
        <v>StrongLumio připojovací kabel CCT 2m</v>
      </c>
      <c r="E714" s="77" t="s">
        <v>3081</v>
      </c>
      <c r="F714" s="77" t="s">
        <v>3082</v>
      </c>
      <c r="G714" s="77" t="s">
        <v>3084</v>
      </c>
      <c r="H714" s="77" t="s">
        <v>3083</v>
      </c>
      <c r="I714" s="77" t="s">
        <v>795</v>
      </c>
      <c r="J714" s="90">
        <v>50</v>
      </c>
      <c r="K714" s="91">
        <v>1</v>
      </c>
      <c r="L714" s="77" t="s">
        <v>227</v>
      </c>
      <c r="M714" s="78">
        <v>22.571639999999999</v>
      </c>
      <c r="N714" s="79">
        <v>1.0307999999999999</v>
      </c>
      <c r="O714" s="79">
        <v>4.3970700000000003</v>
      </c>
      <c r="P714" s="79">
        <v>351.58318000000003</v>
      </c>
      <c r="Q714" s="77"/>
      <c r="R714" s="77"/>
      <c r="S714" s="77"/>
      <c r="T714" s="77"/>
      <c r="U714" s="77"/>
      <c r="V714" s="87"/>
      <c r="W714" s="87"/>
      <c r="X714" s="87"/>
      <c r="Y714" s="77"/>
      <c r="Z714" s="88"/>
      <c r="AA714" s="35"/>
      <c r="AB714" s="35"/>
    </row>
    <row r="715" spans="1:28" x14ac:dyDescent="0.25">
      <c r="A715" s="68" t="str">
        <f t="shared" si="33"/>
        <v>543631</v>
      </c>
      <c r="B715" s="10">
        <f t="shared" si="34"/>
        <v>50.582700000000003</v>
      </c>
      <c r="C715" s="77" t="s">
        <v>5331</v>
      </c>
      <c r="D715" s="191" t="str">
        <f t="shared" si="35"/>
        <v>StrongLumio připojovací kabel k digitálnímu pásku 1m</v>
      </c>
      <c r="E715" s="77" t="s">
        <v>3085</v>
      </c>
      <c r="F715" s="77" t="s">
        <v>3086</v>
      </c>
      <c r="G715" s="77" t="s">
        <v>3088</v>
      </c>
      <c r="H715" s="77" t="s">
        <v>3087</v>
      </c>
      <c r="I715" s="77" t="s">
        <v>795</v>
      </c>
      <c r="J715" s="90">
        <v>200</v>
      </c>
      <c r="K715" s="91">
        <v>1</v>
      </c>
      <c r="L715" s="77" t="s">
        <v>227</v>
      </c>
      <c r="M715" s="78">
        <v>50.582700000000003</v>
      </c>
      <c r="N715" s="79">
        <v>2.3099799999999999</v>
      </c>
      <c r="O715" s="79">
        <v>7.3654900000000003</v>
      </c>
      <c r="P715" s="79">
        <v>778.36500000000001</v>
      </c>
      <c r="Q715" s="77"/>
      <c r="R715" s="77"/>
      <c r="S715" s="77"/>
      <c r="T715" s="77"/>
      <c r="U715" s="77"/>
      <c r="V715" s="87"/>
      <c r="W715" s="87"/>
      <c r="X715" s="87"/>
      <c r="Y715" s="77"/>
      <c r="Z715" s="88"/>
      <c r="AA715" s="35"/>
      <c r="AB715" s="35"/>
    </row>
    <row r="716" spans="1:28" x14ac:dyDescent="0.25">
      <c r="A716" s="68" t="str">
        <f t="shared" si="33"/>
        <v>409452</v>
      </c>
      <c r="B716" s="10">
        <f t="shared" si="34"/>
        <v>46.300800000000002</v>
      </c>
      <c r="C716" s="77" t="s">
        <v>5332</v>
      </c>
      <c r="D716" s="191" t="str">
        <f t="shared" si="35"/>
        <v>StrongLumio připojovací kabel RGB LED pásek - rozvaděč</v>
      </c>
      <c r="E716" s="77" t="s">
        <v>3089</v>
      </c>
      <c r="F716" s="77" t="s">
        <v>3090</v>
      </c>
      <c r="G716" s="77" t="s">
        <v>3092</v>
      </c>
      <c r="H716" s="77" t="s">
        <v>3091</v>
      </c>
      <c r="I716" s="77" t="s">
        <v>795</v>
      </c>
      <c r="J716" s="90">
        <v>100</v>
      </c>
      <c r="K716" s="91">
        <v>1</v>
      </c>
      <c r="L716" s="77" t="s">
        <v>227</v>
      </c>
      <c r="M716" s="78">
        <v>46.300800000000002</v>
      </c>
      <c r="N716" s="79">
        <v>2.1144400000000001</v>
      </c>
      <c r="O716" s="79">
        <v>9.0196299999999994</v>
      </c>
      <c r="P716" s="79">
        <v>721.19627000000003</v>
      </c>
      <c r="Q716" s="77"/>
      <c r="R716" s="77"/>
      <c r="S716" s="77"/>
      <c r="T716" s="77"/>
      <c r="U716" s="77"/>
      <c r="V716" s="87"/>
      <c r="W716" s="87"/>
      <c r="X716" s="87"/>
      <c r="Y716" s="77"/>
      <c r="Z716" s="88"/>
      <c r="AA716" s="35"/>
      <c r="AB716" s="35"/>
    </row>
    <row r="717" spans="1:28" x14ac:dyDescent="0.25">
      <c r="A717" s="68" t="str">
        <f t="shared" si="33"/>
        <v>179054</v>
      </c>
      <c r="B717" s="10">
        <f t="shared" si="34"/>
        <v>12.727259999999999</v>
      </c>
      <c r="C717" s="77" t="s">
        <v>5333</v>
      </c>
      <c r="D717" s="191" t="str">
        <f t="shared" si="35"/>
        <v>StrongLumio připojovací kabel s kulatým konektorem pro LED, 0,15m</v>
      </c>
      <c r="E717" s="77" t="s">
        <v>3093</v>
      </c>
      <c r="F717" s="77" t="s">
        <v>3094</v>
      </c>
      <c r="G717" s="77" t="s">
        <v>3096</v>
      </c>
      <c r="H717" s="77" t="s">
        <v>3095</v>
      </c>
      <c r="I717" s="77" t="s">
        <v>795</v>
      </c>
      <c r="J717" s="90">
        <v>1</v>
      </c>
      <c r="K717" s="91">
        <v>1</v>
      </c>
      <c r="L717" s="77" t="s">
        <v>227</v>
      </c>
      <c r="M717" s="78">
        <v>12.727259999999999</v>
      </c>
      <c r="N717" s="79">
        <v>0.56838999999999995</v>
      </c>
      <c r="O717" s="79">
        <v>1.8044</v>
      </c>
      <c r="P717" s="79">
        <v>197.11841000000001</v>
      </c>
      <c r="Q717" s="77"/>
      <c r="R717" s="77"/>
      <c r="S717" s="77"/>
      <c r="T717" s="77"/>
      <c r="U717" s="77"/>
      <c r="V717" s="87"/>
      <c r="W717" s="87"/>
      <c r="X717" s="87"/>
      <c r="Y717" s="77"/>
      <c r="Z717" s="88"/>
      <c r="AA717" s="35"/>
      <c r="AB717" s="35"/>
    </row>
    <row r="718" spans="1:28" x14ac:dyDescent="0.25">
      <c r="A718" s="68" t="str">
        <f t="shared" si="33"/>
        <v>134114</v>
      </c>
      <c r="B718" s="10">
        <f t="shared" si="34"/>
        <v>55.45449</v>
      </c>
      <c r="C718" s="77" t="s">
        <v>5334</v>
      </c>
      <c r="D718" s="191" t="str">
        <f t="shared" si="35"/>
        <v>StrongLumio připojovací kabel s kulatým konektorem pro LED, 2m</v>
      </c>
      <c r="E718" s="77" t="s">
        <v>3097</v>
      </c>
      <c r="F718" s="77" t="s">
        <v>3098</v>
      </c>
      <c r="G718" s="77" t="s">
        <v>3100</v>
      </c>
      <c r="H718" s="77" t="s">
        <v>3099</v>
      </c>
      <c r="I718" s="77" t="s">
        <v>795</v>
      </c>
      <c r="J718" s="90">
        <v>200</v>
      </c>
      <c r="K718" s="91">
        <v>1</v>
      </c>
      <c r="L718" s="77" t="s">
        <v>276</v>
      </c>
      <c r="M718" s="78">
        <v>55.45449</v>
      </c>
      <c r="N718" s="79">
        <v>2.4766300000000001</v>
      </c>
      <c r="O718" s="79">
        <v>8.1062799999999999</v>
      </c>
      <c r="P718" s="79">
        <v>858.87306999999998</v>
      </c>
      <c r="Q718" s="77"/>
      <c r="R718" s="77"/>
      <c r="S718" s="77"/>
      <c r="T718" s="77"/>
      <c r="U718" s="77"/>
      <c r="V718" s="87"/>
      <c r="W718" s="87"/>
      <c r="X718" s="87"/>
      <c r="Y718" s="77"/>
      <c r="Z718" s="88"/>
      <c r="AA718" s="35"/>
      <c r="AB718" s="35"/>
    </row>
    <row r="719" spans="1:28" x14ac:dyDescent="0.25">
      <c r="A719" s="68" t="str">
        <f t="shared" si="33"/>
        <v>546627</v>
      </c>
      <c r="B719" s="10">
        <f t="shared" si="34"/>
        <v>77.480059999999995</v>
      </c>
      <c r="C719" s="77" t="s">
        <v>5335</v>
      </c>
      <c r="D719" s="191" t="str">
        <f t="shared" si="35"/>
        <v>StrongLumio připojovací kabel s Mini konektorem pro neon 6x12mm, 2 m</v>
      </c>
      <c r="E719" s="77" t="s">
        <v>3101</v>
      </c>
      <c r="F719" s="77" t="s">
        <v>3102</v>
      </c>
      <c r="G719" s="77" t="s">
        <v>6479</v>
      </c>
      <c r="H719" s="77" t="s">
        <v>3103</v>
      </c>
      <c r="I719" s="77" t="s">
        <v>795</v>
      </c>
      <c r="J719" s="90">
        <v>100</v>
      </c>
      <c r="K719" s="91">
        <v>1</v>
      </c>
      <c r="L719" s="77" t="s">
        <v>227</v>
      </c>
      <c r="M719" s="78">
        <v>77.480059999999995</v>
      </c>
      <c r="N719" s="79">
        <v>3.24125</v>
      </c>
      <c r="O719" s="79">
        <v>9.0652100000000004</v>
      </c>
      <c r="P719" s="79">
        <v>1034.2080000000001</v>
      </c>
      <c r="Q719" s="77"/>
      <c r="R719" s="77"/>
      <c r="S719" s="77"/>
      <c r="T719" s="77"/>
      <c r="U719" s="77"/>
      <c r="V719" s="87"/>
      <c r="W719" s="87"/>
      <c r="X719" s="87"/>
      <c r="Y719" s="77"/>
      <c r="Z719" s="88"/>
      <c r="AA719" s="35"/>
      <c r="AB719" s="35"/>
    </row>
    <row r="720" spans="1:28" x14ac:dyDescent="0.25">
      <c r="A720" s="68" t="str">
        <f t="shared" si="33"/>
        <v>285094</v>
      </c>
      <c r="B720" s="10">
        <f t="shared" si="34"/>
        <v>40.239359999999998</v>
      </c>
      <c r="C720" s="77" t="s">
        <v>5336</v>
      </c>
      <c r="D720" s="191" t="str">
        <f t="shared" si="35"/>
        <v>StrongLumio připojovací kabel, 1,8m Mini konektor (543616)</v>
      </c>
      <c r="E720" s="77" t="s">
        <v>3104</v>
      </c>
      <c r="F720" s="77" t="s">
        <v>3105</v>
      </c>
      <c r="G720" s="77" t="s">
        <v>3107</v>
      </c>
      <c r="H720" s="77" t="s">
        <v>3106</v>
      </c>
      <c r="I720" s="77" t="s">
        <v>795</v>
      </c>
      <c r="J720" s="90">
        <v>1000</v>
      </c>
      <c r="K720" s="91">
        <v>1</v>
      </c>
      <c r="L720" s="77" t="s">
        <v>160</v>
      </c>
      <c r="M720" s="78">
        <v>40.239359999999998</v>
      </c>
      <c r="N720" s="79">
        <v>1.6848000000000001</v>
      </c>
      <c r="O720" s="79">
        <v>5.08622</v>
      </c>
      <c r="P720" s="79">
        <v>594.03680999999995</v>
      </c>
      <c r="Q720" s="77"/>
      <c r="R720" s="77"/>
      <c r="S720" s="77"/>
      <c r="T720" s="77"/>
      <c r="U720" s="77"/>
      <c r="V720" s="87"/>
      <c r="W720" s="87"/>
      <c r="X720" s="87"/>
      <c r="Y720" s="77"/>
      <c r="Z720" s="88"/>
      <c r="AA720" s="35"/>
      <c r="AB720" s="35"/>
    </row>
    <row r="721" spans="1:28" x14ac:dyDescent="0.25">
      <c r="A721" s="68" t="str">
        <f t="shared" si="33"/>
        <v>546601</v>
      </c>
      <c r="B721" s="10">
        <f t="shared" si="34"/>
        <v>687.35699999999997</v>
      </c>
      <c r="C721" s="77" t="s">
        <v>5337</v>
      </c>
      <c r="D721" s="191" t="str">
        <f t="shared" si="35"/>
        <v>StrongLumio RF dálkový ovladač/stmívač 12V/24V 1 zóna</v>
      </c>
      <c r="E721" s="77" t="s">
        <v>3108</v>
      </c>
      <c r="F721" s="77" t="s">
        <v>3109</v>
      </c>
      <c r="G721" s="77" t="s">
        <v>6480</v>
      </c>
      <c r="H721" s="77" t="s">
        <v>3110</v>
      </c>
      <c r="I721" s="77" t="s">
        <v>889</v>
      </c>
      <c r="J721" s="90">
        <v>1</v>
      </c>
      <c r="K721" s="91">
        <v>1</v>
      </c>
      <c r="L721" s="77" t="s">
        <v>227</v>
      </c>
      <c r="M721" s="78">
        <v>687.35699999999997</v>
      </c>
      <c r="N721" s="79">
        <v>24.3005</v>
      </c>
      <c r="O721" s="79">
        <v>68.885890000000003</v>
      </c>
      <c r="P721" s="79">
        <v>7439.3770800000002</v>
      </c>
      <c r="Q721" s="77"/>
      <c r="R721" s="77"/>
      <c r="S721" s="77"/>
      <c r="T721" s="77"/>
      <c r="U721" s="77"/>
      <c r="V721" s="87"/>
      <c r="W721" s="87"/>
      <c r="X721" s="87"/>
      <c r="Y721" s="77"/>
      <c r="Z721" s="88"/>
      <c r="AA721" s="35"/>
      <c r="AB721" s="35"/>
    </row>
    <row r="722" spans="1:28" x14ac:dyDescent="0.25">
      <c r="A722" s="68" t="str">
        <f t="shared" si="33"/>
        <v>223823</v>
      </c>
      <c r="B722" s="10">
        <f t="shared" si="34"/>
        <v>133.2045</v>
      </c>
      <c r="C722" s="77" t="s">
        <v>5338</v>
      </c>
      <c r="D722" s="191" t="str">
        <f t="shared" si="35"/>
        <v>StrongLumio RF dálkový vypínač/stmívač 12V/24V</v>
      </c>
      <c r="E722" s="77" t="s">
        <v>197</v>
      </c>
      <c r="F722" s="77" t="s">
        <v>3111</v>
      </c>
      <c r="G722" s="77" t="s">
        <v>3113</v>
      </c>
      <c r="H722" s="77" t="s">
        <v>3112</v>
      </c>
      <c r="I722" s="77" t="s">
        <v>795</v>
      </c>
      <c r="J722" s="90">
        <v>25</v>
      </c>
      <c r="K722" s="91">
        <v>1</v>
      </c>
      <c r="L722" s="77" t="s">
        <v>227</v>
      </c>
      <c r="M722" s="78">
        <v>133.2045</v>
      </c>
      <c r="N722" s="79">
        <v>4.6054399999999998</v>
      </c>
      <c r="O722" s="79">
        <v>11.70598</v>
      </c>
      <c r="P722" s="79">
        <v>1513.68749</v>
      </c>
      <c r="Q722" s="77"/>
      <c r="R722" s="77"/>
      <c r="S722" s="77"/>
      <c r="T722" s="77"/>
      <c r="U722" s="77"/>
      <c r="V722" s="87"/>
      <c r="W722" s="87"/>
      <c r="X722" s="87"/>
      <c r="Y722" s="77"/>
      <c r="Z722" s="88"/>
      <c r="AA722" s="35"/>
      <c r="AB722" s="35"/>
    </row>
    <row r="723" spans="1:28" x14ac:dyDescent="0.25">
      <c r="A723" s="68" t="str">
        <f t="shared" si="33"/>
        <v>284574</v>
      </c>
      <c r="B723" s="10">
        <f t="shared" si="34"/>
        <v>259.06400000000002</v>
      </c>
      <c r="C723" s="77" t="s">
        <v>5339</v>
      </c>
      <c r="D723" s="191" t="str">
        <f t="shared" si="35"/>
        <v>StrongLumio RGB RF Touch ovladač 3x6A</v>
      </c>
      <c r="E723" s="77" t="s">
        <v>3114</v>
      </c>
      <c r="F723" s="77" t="s">
        <v>3115</v>
      </c>
      <c r="G723" s="77" t="s">
        <v>3117</v>
      </c>
      <c r="H723" s="77" t="s">
        <v>3116</v>
      </c>
      <c r="I723" s="77" t="s">
        <v>795</v>
      </c>
      <c r="J723" s="90">
        <v>1</v>
      </c>
      <c r="K723" s="91">
        <v>1</v>
      </c>
      <c r="L723" s="77" t="s">
        <v>160</v>
      </c>
      <c r="M723" s="78">
        <v>259.06400000000002</v>
      </c>
      <c r="N723" s="79">
        <v>12.592230000000001</v>
      </c>
      <c r="O723" s="79">
        <v>63.68826</v>
      </c>
      <c r="P723" s="79">
        <v>5227.86697</v>
      </c>
      <c r="Q723" s="77"/>
      <c r="R723" s="77"/>
      <c r="S723" s="77"/>
      <c r="T723" s="77"/>
      <c r="U723" s="77"/>
      <c r="V723" s="87"/>
      <c r="W723" s="87"/>
      <c r="X723" s="87"/>
      <c r="Y723" s="77"/>
      <c r="Z723" s="88"/>
      <c r="AA723" s="35"/>
      <c r="AB723" s="35"/>
    </row>
    <row r="724" spans="1:28" x14ac:dyDescent="0.25">
      <c r="A724" s="68" t="str">
        <f t="shared" si="33"/>
        <v>356328</v>
      </c>
      <c r="B724" s="10">
        <f t="shared" si="34"/>
        <v>75.4208</v>
      </c>
      <c r="C724" s="77" t="s">
        <v>5340</v>
      </c>
      <c r="D724" s="191" t="str">
        <f t="shared" si="35"/>
        <v>StrongLumio rozvaděč LED 6x Mini konektor, 0,25m</v>
      </c>
      <c r="E724" s="77" t="s">
        <v>3118</v>
      </c>
      <c r="F724" s="77" t="s">
        <v>3119</v>
      </c>
      <c r="G724" s="77" t="s">
        <v>3121</v>
      </c>
      <c r="H724" s="77" t="s">
        <v>3120</v>
      </c>
      <c r="I724" s="77" t="s">
        <v>795</v>
      </c>
      <c r="J724" s="90">
        <v>50</v>
      </c>
      <c r="K724" s="91">
        <v>1</v>
      </c>
      <c r="L724" s="77" t="s">
        <v>227</v>
      </c>
      <c r="M724" s="78">
        <v>75.4208</v>
      </c>
      <c r="N724" s="79">
        <v>3.3557199999999998</v>
      </c>
      <c r="O724" s="79">
        <v>8.5</v>
      </c>
      <c r="P724" s="79">
        <v>1171.914</v>
      </c>
      <c r="Q724" s="77"/>
      <c r="R724" s="77"/>
      <c r="S724" s="77"/>
      <c r="T724" s="77"/>
      <c r="U724" s="77"/>
      <c r="V724" s="87"/>
      <c r="W724" s="87"/>
      <c r="X724" s="87"/>
      <c r="Y724" s="77"/>
      <c r="Z724" s="88"/>
      <c r="AA724" s="35"/>
      <c r="AB724" s="35"/>
    </row>
    <row r="725" spans="1:28" x14ac:dyDescent="0.25">
      <c r="A725" s="68" t="str">
        <f t="shared" si="33"/>
        <v>285093</v>
      </c>
      <c r="B725" s="10">
        <f t="shared" si="34"/>
        <v>102.35680000000001</v>
      </c>
      <c r="C725" s="77" t="s">
        <v>5341</v>
      </c>
      <c r="D725" s="191" t="str">
        <f t="shared" si="35"/>
        <v>StrongLumio rozvaděč LED 6x Mini konektor, Jack, 0,25m</v>
      </c>
      <c r="E725" s="77" t="s">
        <v>3122</v>
      </c>
      <c r="F725" s="77" t="s">
        <v>3123</v>
      </c>
      <c r="G725" s="77" t="s">
        <v>3125</v>
      </c>
      <c r="H725" s="77" t="s">
        <v>3124</v>
      </c>
      <c r="I725" s="77" t="s">
        <v>795</v>
      </c>
      <c r="J725" s="90">
        <v>50</v>
      </c>
      <c r="K725" s="91">
        <v>1</v>
      </c>
      <c r="L725" s="77" t="s">
        <v>276</v>
      </c>
      <c r="M725" s="78">
        <v>102.35680000000001</v>
      </c>
      <c r="N725" s="79">
        <v>4.5541799999999997</v>
      </c>
      <c r="O725" s="79">
        <v>11</v>
      </c>
      <c r="P725" s="79">
        <v>1590.4547399999999</v>
      </c>
      <c r="Q725" s="77"/>
      <c r="R725" s="77"/>
      <c r="S725" s="77"/>
      <c r="T725" s="77"/>
      <c r="U725" s="77"/>
      <c r="V725" s="87"/>
      <c r="W725" s="87"/>
      <c r="X725" s="87"/>
      <c r="Y725" s="77"/>
      <c r="Z725" s="88"/>
      <c r="AA725" s="35"/>
      <c r="AB725" s="35"/>
    </row>
    <row r="726" spans="1:28" x14ac:dyDescent="0.25">
      <c r="A726" s="68" t="str">
        <f t="shared" si="33"/>
        <v>405191</v>
      </c>
      <c r="B726" s="10">
        <f t="shared" si="34"/>
        <v>24.018540000000002</v>
      </c>
      <c r="C726" s="77" t="s">
        <v>5342</v>
      </c>
      <c r="D726" s="191" t="str">
        <f t="shared" si="35"/>
        <v>StrongLumio rozvaděč LED CCT 0,5m</v>
      </c>
      <c r="E726" s="77" t="s">
        <v>3126</v>
      </c>
      <c r="F726" s="77" t="s">
        <v>3127</v>
      </c>
      <c r="G726" s="77" t="s">
        <v>3129</v>
      </c>
      <c r="H726" s="77" t="s">
        <v>3128</v>
      </c>
      <c r="I726" s="77" t="s">
        <v>795</v>
      </c>
      <c r="J726" s="90">
        <v>1</v>
      </c>
      <c r="K726" s="91">
        <v>1</v>
      </c>
      <c r="L726" s="77" t="s">
        <v>227</v>
      </c>
      <c r="M726" s="78">
        <v>24.018540000000002</v>
      </c>
      <c r="N726" s="79">
        <v>1.0968800000000001</v>
      </c>
      <c r="O726" s="79">
        <v>4.6789300000000003</v>
      </c>
      <c r="P726" s="79">
        <v>374.12056999999999</v>
      </c>
      <c r="Q726" s="77"/>
      <c r="R726" s="77"/>
      <c r="S726" s="77"/>
      <c r="T726" s="77"/>
      <c r="U726" s="77"/>
      <c r="V726" s="87"/>
      <c r="W726" s="87"/>
      <c r="X726" s="87"/>
      <c r="Y726" s="77"/>
      <c r="Z726" s="88"/>
      <c r="AA726" s="35"/>
      <c r="AB726" s="35"/>
    </row>
    <row r="727" spans="1:28" x14ac:dyDescent="0.25">
      <c r="A727" s="68" t="str">
        <f t="shared" si="33"/>
        <v>405192</v>
      </c>
      <c r="B727" s="10">
        <f t="shared" si="34"/>
        <v>28.937999999999999</v>
      </c>
      <c r="C727" s="77" t="s">
        <v>5343</v>
      </c>
      <c r="D727" s="191" t="str">
        <f t="shared" si="35"/>
        <v>StrongLumio rozvaděč LED RGB 0,5m</v>
      </c>
      <c r="E727" s="77" t="s">
        <v>3130</v>
      </c>
      <c r="F727" s="77" t="s">
        <v>3131</v>
      </c>
      <c r="G727" s="77" t="s">
        <v>3133</v>
      </c>
      <c r="H727" s="77" t="s">
        <v>3132</v>
      </c>
      <c r="I727" s="77" t="s">
        <v>795</v>
      </c>
      <c r="J727" s="90">
        <v>1</v>
      </c>
      <c r="K727" s="91">
        <v>1</v>
      </c>
      <c r="L727" s="77" t="s">
        <v>227</v>
      </c>
      <c r="M727" s="78">
        <v>28.937999999999999</v>
      </c>
      <c r="N727" s="79">
        <v>1.32152</v>
      </c>
      <c r="O727" s="79">
        <v>5.63727</v>
      </c>
      <c r="P727" s="79">
        <v>450.74766</v>
      </c>
      <c r="Q727" s="77"/>
      <c r="R727" s="77"/>
      <c r="S727" s="77"/>
      <c r="T727" s="77"/>
      <c r="U727" s="77"/>
      <c r="V727" s="87"/>
      <c r="W727" s="87"/>
      <c r="X727" s="87"/>
      <c r="Y727" s="77"/>
      <c r="Z727" s="88"/>
      <c r="AA727" s="35"/>
      <c r="AB727" s="35"/>
    </row>
    <row r="728" spans="1:28" x14ac:dyDescent="0.25">
      <c r="A728" s="68" t="str">
        <f t="shared" si="33"/>
        <v>405193</v>
      </c>
      <c r="B728" s="10">
        <f t="shared" si="34"/>
        <v>0</v>
      </c>
      <c r="C728" s="77" t="s">
        <v>5344</v>
      </c>
      <c r="D728" s="191" t="str">
        <f t="shared" si="35"/>
        <v>StrongLumio rozvaděč LED RGBW  0,5m</v>
      </c>
      <c r="E728" s="77" t="s">
        <v>3134</v>
      </c>
      <c r="F728" s="77" t="s">
        <v>3135</v>
      </c>
      <c r="G728" s="77" t="s">
        <v>3133</v>
      </c>
      <c r="H728" s="77" t="s">
        <v>3136</v>
      </c>
      <c r="I728" s="77" t="s">
        <v>795</v>
      </c>
      <c r="J728" s="90">
        <v>1</v>
      </c>
      <c r="K728" s="91">
        <v>1</v>
      </c>
      <c r="L728" s="77" t="s">
        <v>160</v>
      </c>
      <c r="M728" s="78">
        <v>0</v>
      </c>
      <c r="N728" s="79">
        <v>0</v>
      </c>
      <c r="O728" s="79">
        <v>0</v>
      </c>
      <c r="P728" s="79">
        <v>0</v>
      </c>
      <c r="Q728" s="77"/>
      <c r="R728" s="77"/>
      <c r="S728" s="77"/>
      <c r="T728" s="77"/>
      <c r="U728" s="77"/>
      <c r="V728" s="87"/>
      <c r="W728" s="87"/>
      <c r="X728" s="87"/>
      <c r="Y728" s="77"/>
      <c r="Z728" s="88"/>
      <c r="AA728" s="35"/>
      <c r="AB728" s="35"/>
    </row>
    <row r="729" spans="1:28" x14ac:dyDescent="0.25">
      <c r="A729" s="68" t="str">
        <f t="shared" si="33"/>
        <v>546638</v>
      </c>
      <c r="B729" s="10">
        <f t="shared" si="34"/>
        <v>689.59360000000004</v>
      </c>
      <c r="C729" s="77" t="s">
        <v>5345</v>
      </c>
      <c r="D729" s="191" t="str">
        <f t="shared" si="35"/>
        <v>StrongLumio řídicí jednotka RF pro 2PIN CCT pásky</v>
      </c>
      <c r="E729" s="77" t="s">
        <v>3137</v>
      </c>
      <c r="F729" s="77" t="s">
        <v>3138</v>
      </c>
      <c r="G729" s="77" t="s">
        <v>3140</v>
      </c>
      <c r="H729" s="77" t="s">
        <v>3139</v>
      </c>
      <c r="I729" s="77" t="s">
        <v>795</v>
      </c>
      <c r="J729" s="90">
        <v>50</v>
      </c>
      <c r="K729" s="91">
        <v>1</v>
      </c>
      <c r="L729" s="77" t="s">
        <v>227</v>
      </c>
      <c r="M729" s="78">
        <v>689.59360000000004</v>
      </c>
      <c r="N729" s="79">
        <v>29.12921</v>
      </c>
      <c r="O729" s="79">
        <v>96.043450000000007</v>
      </c>
      <c r="P729" s="79">
        <v>8091.1082800000004</v>
      </c>
      <c r="Q729" s="77"/>
      <c r="R729" s="77"/>
      <c r="S729" s="77"/>
      <c r="T729" s="77"/>
      <c r="U729" s="77"/>
      <c r="V729" s="87"/>
      <c r="W729" s="87"/>
      <c r="X729" s="87"/>
      <c r="Y729" s="77"/>
      <c r="Z729" s="88"/>
      <c r="AA729" s="35"/>
      <c r="AB729" s="35"/>
    </row>
    <row r="730" spans="1:28" x14ac:dyDescent="0.25">
      <c r="A730" s="68" t="str">
        <f t="shared" si="33"/>
        <v>405357</v>
      </c>
      <c r="B730" s="10">
        <f t="shared" si="34"/>
        <v>570.8664</v>
      </c>
      <c r="C730" s="77" t="s">
        <v>5346</v>
      </c>
      <c r="D730" s="191" t="str">
        <f t="shared" si="35"/>
        <v>StrongLumio řídicí jednotka RF univerzální, 4 v 1</v>
      </c>
      <c r="E730" s="77" t="s">
        <v>3141</v>
      </c>
      <c r="F730" s="77" t="s">
        <v>3142</v>
      </c>
      <c r="G730" s="77" t="s">
        <v>3144</v>
      </c>
      <c r="H730" s="77" t="s">
        <v>3143</v>
      </c>
      <c r="I730" s="77" t="s">
        <v>795</v>
      </c>
      <c r="J730" s="90">
        <v>50</v>
      </c>
      <c r="K730" s="91">
        <v>1</v>
      </c>
      <c r="L730" s="77" t="s">
        <v>227</v>
      </c>
      <c r="M730" s="78">
        <v>570.8664</v>
      </c>
      <c r="N730" s="79">
        <v>23.437539999999998</v>
      </c>
      <c r="O730" s="79">
        <v>68.398380000000003</v>
      </c>
      <c r="P730" s="79">
        <v>6828.5454399999999</v>
      </c>
      <c r="Q730" s="77"/>
      <c r="R730" s="77"/>
      <c r="S730" s="77"/>
      <c r="T730" s="77"/>
      <c r="U730" s="77"/>
      <c r="V730" s="87"/>
      <c r="W730" s="87"/>
      <c r="X730" s="87"/>
      <c r="Y730" s="77"/>
      <c r="Z730" s="88"/>
      <c r="AA730" s="35"/>
      <c r="AB730" s="35"/>
    </row>
    <row r="731" spans="1:28" x14ac:dyDescent="0.25">
      <c r="A731" s="68" t="str">
        <f t="shared" si="33"/>
        <v>467117</v>
      </c>
      <c r="B731" s="10">
        <f t="shared" si="34"/>
        <v>905.74847999999997</v>
      </c>
      <c r="C731" s="77" t="s">
        <v>5347</v>
      </c>
      <c r="D731" s="191" t="str">
        <f t="shared" si="35"/>
        <v>StrongLumio řídicí jednotka WiFi univerzální 5 v 1 - Smart (TUYA)</v>
      </c>
      <c r="E731" s="77" t="s">
        <v>3145</v>
      </c>
      <c r="F731" s="77" t="s">
        <v>3146</v>
      </c>
      <c r="G731" s="77" t="s">
        <v>3148</v>
      </c>
      <c r="H731" s="77" t="s">
        <v>3147</v>
      </c>
      <c r="I731" s="77" t="s">
        <v>795</v>
      </c>
      <c r="J731" s="90">
        <v>50</v>
      </c>
      <c r="K731" s="91">
        <v>1</v>
      </c>
      <c r="L731" s="77" t="s">
        <v>227</v>
      </c>
      <c r="M731" s="78">
        <v>905.74847999999997</v>
      </c>
      <c r="N731" s="79">
        <v>35.294139999999999</v>
      </c>
      <c r="O731" s="79">
        <v>105.68438999999999</v>
      </c>
      <c r="P731" s="79">
        <v>11487.272730000001</v>
      </c>
      <c r="Q731" s="77"/>
      <c r="R731" s="77"/>
      <c r="S731" s="77"/>
      <c r="T731" s="77"/>
      <c r="U731" s="77"/>
      <c r="V731" s="87"/>
      <c r="W731" s="87"/>
      <c r="X731" s="87"/>
      <c r="Y731" s="77"/>
      <c r="Z731" s="88"/>
      <c r="AA731" s="35"/>
      <c r="AB731" s="35"/>
    </row>
    <row r="732" spans="1:28" x14ac:dyDescent="0.25">
      <c r="A732" s="68" t="str">
        <f t="shared" si="33"/>
        <v>546596</v>
      </c>
      <c r="B732" s="10" t="e">
        <f t="shared" si="34"/>
        <v>#N/A</v>
      </c>
      <c r="C732" s="77" t="s">
        <v>5348</v>
      </c>
      <c r="D732" s="191" t="str">
        <f t="shared" si="35"/>
        <v>StrongLumio sada 2 LED svítidel s dálkovým ovladačem a pohybovým senzorem, černá</v>
      </c>
      <c r="E732" s="77" t="s">
        <v>3149</v>
      </c>
      <c r="F732" s="77" t="s">
        <v>794</v>
      </c>
      <c r="G732" s="77" t="s">
        <v>794</v>
      </c>
      <c r="H732" s="77" t="s">
        <v>794</v>
      </c>
      <c r="I732" s="77" t="s">
        <v>889</v>
      </c>
      <c r="J732" s="90">
        <v>1</v>
      </c>
      <c r="K732" s="91">
        <v>1</v>
      </c>
      <c r="L732" s="77" t="s">
        <v>160</v>
      </c>
      <c r="M732" s="78" t="e">
        <v>#N/A</v>
      </c>
      <c r="N732" s="79" t="e">
        <v>#N/A</v>
      </c>
      <c r="O732" s="79" t="e">
        <v>#N/A</v>
      </c>
      <c r="P732" s="79" t="e">
        <v>#N/A</v>
      </c>
      <c r="Q732" s="77"/>
      <c r="R732" s="77"/>
      <c r="S732" s="77"/>
      <c r="T732" s="77"/>
      <c r="U732" s="77"/>
      <c r="V732" s="87"/>
      <c r="W732" s="87"/>
      <c r="X732" s="87"/>
      <c r="Y732" s="77"/>
      <c r="Z732" s="88"/>
      <c r="AA732" s="35"/>
      <c r="AB732" s="35"/>
    </row>
    <row r="733" spans="1:28" x14ac:dyDescent="0.25">
      <c r="A733" s="68" t="str">
        <f t="shared" si="33"/>
        <v>555764</v>
      </c>
      <c r="B733" s="10">
        <f t="shared" si="34"/>
        <v>874.00800000000004</v>
      </c>
      <c r="C733" s="77" t="s">
        <v>5349</v>
      </c>
      <c r="D733" s="191" t="str">
        <f t="shared" si="35"/>
        <v>StrongLumio sada LED profil Baselyte-10 High 2m+příslušenství,bílá lak</v>
      </c>
      <c r="E733" s="77" t="s">
        <v>3150</v>
      </c>
      <c r="F733" s="77" t="s">
        <v>6481</v>
      </c>
      <c r="G733" s="77" t="s">
        <v>6483</v>
      </c>
      <c r="H733" s="77" t="s">
        <v>6482</v>
      </c>
      <c r="I733" s="77" t="s">
        <v>889</v>
      </c>
      <c r="J733" s="90">
        <v>20</v>
      </c>
      <c r="K733" s="91">
        <v>1</v>
      </c>
      <c r="L733" s="77" t="s">
        <v>6565</v>
      </c>
      <c r="M733" s="78">
        <v>874.00800000000004</v>
      </c>
      <c r="N733" s="79">
        <v>33.432000000000002</v>
      </c>
      <c r="O733" s="79">
        <v>99.828410000000005</v>
      </c>
      <c r="P733" s="79">
        <v>12025.55141</v>
      </c>
      <c r="Q733" s="77"/>
      <c r="R733" s="77"/>
      <c r="S733" s="77"/>
      <c r="T733" s="77"/>
      <c r="U733" s="77"/>
      <c r="V733" s="87"/>
      <c r="W733" s="87"/>
      <c r="X733" s="87"/>
      <c r="Y733" s="77"/>
      <c r="Z733" s="88"/>
      <c r="AA733" s="35"/>
      <c r="AB733" s="35"/>
    </row>
    <row r="734" spans="1:28" x14ac:dyDescent="0.25">
      <c r="A734" s="68" t="str">
        <f t="shared" ref="A734:A797" si="36">C734</f>
        <v>555763</v>
      </c>
      <c r="B734" s="10">
        <f t="shared" si="34"/>
        <v>868.73760000000004</v>
      </c>
      <c r="C734" s="77" t="s">
        <v>5350</v>
      </c>
      <c r="D734" s="191" t="str">
        <f t="shared" si="35"/>
        <v>StrongLumio sada LED profil Baselyte-10 High 2m+příslušenství,černá elox</v>
      </c>
      <c r="E734" s="77" t="s">
        <v>3151</v>
      </c>
      <c r="F734" s="77" t="s">
        <v>6484</v>
      </c>
      <c r="G734" s="77" t="s">
        <v>6486</v>
      </c>
      <c r="H734" s="77" t="s">
        <v>6485</v>
      </c>
      <c r="I734" s="77" t="s">
        <v>889</v>
      </c>
      <c r="J734" s="90">
        <v>20</v>
      </c>
      <c r="K734" s="91">
        <v>1</v>
      </c>
      <c r="L734" s="77" t="s">
        <v>6565</v>
      </c>
      <c r="M734" s="78">
        <v>868.73760000000004</v>
      </c>
      <c r="N734" s="79">
        <v>33.230400000000003</v>
      </c>
      <c r="O734" s="79">
        <v>99.22645</v>
      </c>
      <c r="P734" s="79">
        <v>11953.035519999999</v>
      </c>
      <c r="Q734" s="77"/>
      <c r="R734" s="77"/>
      <c r="S734" s="77"/>
      <c r="T734" s="77"/>
      <c r="U734" s="77"/>
      <c r="V734" s="87"/>
      <c r="W734" s="87"/>
      <c r="X734" s="87"/>
      <c r="Y734" s="77"/>
      <c r="Z734" s="88"/>
      <c r="AA734" s="35"/>
      <c r="AB734" s="35"/>
    </row>
    <row r="735" spans="1:28" x14ac:dyDescent="0.25">
      <c r="A735" s="68" t="str">
        <f t="shared" si="36"/>
        <v>555762</v>
      </c>
      <c r="B735" s="10">
        <f t="shared" si="34"/>
        <v>617.51520000000005</v>
      </c>
      <c r="C735" s="77" t="s">
        <v>5351</v>
      </c>
      <c r="D735" s="191" t="str">
        <f t="shared" si="35"/>
        <v>StrongLumio sada LED profil Baselyte-10 High 2m+příslušenství,stříbrná elox</v>
      </c>
      <c r="E735" s="77" t="s">
        <v>3152</v>
      </c>
      <c r="F735" s="77" t="s">
        <v>6487</v>
      </c>
      <c r="G735" s="77" t="s">
        <v>6489</v>
      </c>
      <c r="H735" s="77" t="s">
        <v>6488</v>
      </c>
      <c r="I735" s="77" t="s">
        <v>889</v>
      </c>
      <c r="J735" s="90">
        <v>20</v>
      </c>
      <c r="K735" s="91">
        <v>1</v>
      </c>
      <c r="L735" s="77" t="s">
        <v>6565</v>
      </c>
      <c r="M735" s="78">
        <v>617.51520000000005</v>
      </c>
      <c r="N735" s="79">
        <v>23.620799999999999</v>
      </c>
      <c r="O735" s="79">
        <v>70.532049999999998</v>
      </c>
      <c r="P735" s="79">
        <v>8496.4448699999994</v>
      </c>
      <c r="Q735" s="77"/>
      <c r="R735" s="77"/>
      <c r="S735" s="77"/>
      <c r="T735" s="77"/>
      <c r="U735" s="77"/>
      <c r="V735" s="87"/>
      <c r="W735" s="87"/>
      <c r="X735" s="87"/>
      <c r="Y735" s="77"/>
      <c r="Z735" s="88"/>
      <c r="AA735" s="35"/>
      <c r="AB735" s="35"/>
    </row>
    <row r="736" spans="1:28" x14ac:dyDescent="0.25">
      <c r="A736" s="68" t="str">
        <f t="shared" si="36"/>
        <v>555767</v>
      </c>
      <c r="B736" s="10">
        <f t="shared" ref="B736:B799" si="37">IF($B$1=1,M736,IF($B$1=2,N736,IF($B$1=3,O736,IF($B$1=4,P736))))</f>
        <v>720.28800000000001</v>
      </c>
      <c r="C736" s="77" t="s">
        <v>5352</v>
      </c>
      <c r="D736" s="191" t="str">
        <f t="shared" si="35"/>
        <v>StrongLumio sada LED profil Baselyte-10 Low 2m+příslušenství,bílá lak</v>
      </c>
      <c r="E736" s="77" t="s">
        <v>3153</v>
      </c>
      <c r="F736" s="77" t="s">
        <v>6490</v>
      </c>
      <c r="G736" s="77" t="s">
        <v>6492</v>
      </c>
      <c r="H736" s="77" t="s">
        <v>6491</v>
      </c>
      <c r="I736" s="77" t="s">
        <v>889</v>
      </c>
      <c r="J736" s="90">
        <v>20</v>
      </c>
      <c r="K736" s="91">
        <v>1</v>
      </c>
      <c r="L736" s="77" t="s">
        <v>6565</v>
      </c>
      <c r="M736" s="78">
        <v>720.28800000000001</v>
      </c>
      <c r="N736" s="79">
        <v>27.552</v>
      </c>
      <c r="O736" s="79">
        <v>82.270650000000003</v>
      </c>
      <c r="P736" s="79">
        <v>9910.5046600000005</v>
      </c>
      <c r="Q736" s="77"/>
      <c r="R736" s="77"/>
      <c r="S736" s="77"/>
      <c r="T736" s="77"/>
      <c r="U736" s="77"/>
      <c r="V736" s="87"/>
      <c r="W736" s="87"/>
      <c r="X736" s="87"/>
      <c r="Y736" s="77"/>
      <c r="Z736" s="88"/>
      <c r="AA736" s="35"/>
      <c r="AB736" s="35"/>
    </row>
    <row r="737" spans="1:28" x14ac:dyDescent="0.25">
      <c r="A737" s="68" t="str">
        <f t="shared" si="36"/>
        <v>555766</v>
      </c>
      <c r="B737" s="10">
        <f t="shared" si="37"/>
        <v>787.04639999999995</v>
      </c>
      <c r="C737" s="77" t="s">
        <v>5353</v>
      </c>
      <c r="D737" s="191" t="str">
        <f t="shared" si="35"/>
        <v>StrongLumio sada LED profil Baselyte-10 Low 2m+příslušenství,černá elox</v>
      </c>
      <c r="E737" s="77" t="s">
        <v>3154</v>
      </c>
      <c r="F737" s="77" t="s">
        <v>6493</v>
      </c>
      <c r="G737" s="77" t="s">
        <v>6495</v>
      </c>
      <c r="H737" s="77" t="s">
        <v>6494</v>
      </c>
      <c r="I737" s="77" t="s">
        <v>889</v>
      </c>
      <c r="J737" s="90">
        <v>20</v>
      </c>
      <c r="K737" s="91">
        <v>1</v>
      </c>
      <c r="L737" s="77" t="s">
        <v>6565</v>
      </c>
      <c r="M737" s="78">
        <v>787.04639999999995</v>
      </c>
      <c r="N737" s="79">
        <v>30.105599999999999</v>
      </c>
      <c r="O737" s="79">
        <v>89.895750000000007</v>
      </c>
      <c r="P737" s="79">
        <v>10829.039269999999</v>
      </c>
      <c r="Q737" s="77"/>
      <c r="R737" s="77"/>
      <c r="S737" s="77"/>
      <c r="T737" s="77"/>
      <c r="U737" s="77"/>
      <c r="V737" s="87"/>
      <c r="W737" s="87"/>
      <c r="X737" s="87"/>
      <c r="Y737" s="77"/>
      <c r="Z737" s="88"/>
      <c r="AA737" s="35"/>
      <c r="AB737" s="35"/>
    </row>
    <row r="738" spans="1:28" x14ac:dyDescent="0.25">
      <c r="A738" s="68" t="str">
        <f t="shared" si="36"/>
        <v>555765</v>
      </c>
      <c r="B738" s="10">
        <f t="shared" si="37"/>
        <v>531.43200000000002</v>
      </c>
      <c r="C738" s="77" t="s">
        <v>5354</v>
      </c>
      <c r="D738" s="191" t="str">
        <f t="shared" si="35"/>
        <v>StrongLumio sada LED profil Baselyte-10 Low 2m+příslušenství,stříbrná elox</v>
      </c>
      <c r="E738" s="77" t="s">
        <v>3155</v>
      </c>
      <c r="F738" s="77" t="s">
        <v>6496</v>
      </c>
      <c r="G738" s="77" t="s">
        <v>6498</v>
      </c>
      <c r="H738" s="77" t="s">
        <v>6497</v>
      </c>
      <c r="I738" s="77" t="s">
        <v>889</v>
      </c>
      <c r="J738" s="90">
        <v>20</v>
      </c>
      <c r="K738" s="91">
        <v>1</v>
      </c>
      <c r="L738" s="77" t="s">
        <v>6565</v>
      </c>
      <c r="M738" s="78">
        <v>531.43200000000002</v>
      </c>
      <c r="N738" s="79">
        <v>20.327999999999999</v>
      </c>
      <c r="O738" s="79">
        <v>60.6997</v>
      </c>
      <c r="P738" s="79">
        <v>7312.0186999999996</v>
      </c>
      <c r="Q738" s="77"/>
      <c r="R738" s="77"/>
      <c r="S738" s="77"/>
      <c r="T738" s="77"/>
      <c r="U738" s="77"/>
      <c r="V738" s="87"/>
      <c r="W738" s="87"/>
      <c r="X738" s="87"/>
      <c r="Y738" s="77"/>
      <c r="Z738" s="88"/>
      <c r="AA738" s="35"/>
      <c r="AB738" s="35"/>
    </row>
    <row r="739" spans="1:28" x14ac:dyDescent="0.25">
      <c r="A739" s="68" t="str">
        <f t="shared" si="36"/>
        <v>554672</v>
      </c>
      <c r="B739" s="10">
        <f t="shared" si="37"/>
        <v>1488.0096000000001</v>
      </c>
      <c r="C739" s="77" t="s">
        <v>5355</v>
      </c>
      <c r="D739" s="191" t="str">
        <f t="shared" si="35"/>
        <v>StrongLumio sada LED profil Maglyte 2m+příslušenství,bílá lak</v>
      </c>
      <c r="E739" s="77" t="s">
        <v>3156</v>
      </c>
      <c r="F739" s="77" t="s">
        <v>3157</v>
      </c>
      <c r="G739" s="77" t="s">
        <v>6500</v>
      </c>
      <c r="H739" s="77" t="s">
        <v>6499</v>
      </c>
      <c r="I739" s="77" t="s">
        <v>889</v>
      </c>
      <c r="J739" s="90">
        <v>20</v>
      </c>
      <c r="K739" s="91">
        <v>1</v>
      </c>
      <c r="L739" s="77" t="s">
        <v>6565</v>
      </c>
      <c r="M739" s="78">
        <v>1488.0096000000001</v>
      </c>
      <c r="N739" s="79">
        <v>56.918399999999998</v>
      </c>
      <c r="O739" s="79">
        <v>169.95912999999999</v>
      </c>
      <c r="P739" s="79">
        <v>20473.652330000001</v>
      </c>
      <c r="Q739" s="77"/>
      <c r="R739" s="77"/>
      <c r="S739" s="77"/>
      <c r="T739" s="77"/>
      <c r="U739" s="77"/>
      <c r="V739" s="87"/>
      <c r="W739" s="87"/>
      <c r="X739" s="87"/>
      <c r="Y739" s="77"/>
      <c r="Z739" s="88"/>
      <c r="AA739" s="35"/>
      <c r="AB739" s="35"/>
    </row>
    <row r="740" spans="1:28" x14ac:dyDescent="0.25">
      <c r="A740" s="68" t="str">
        <f t="shared" si="36"/>
        <v>554671</v>
      </c>
      <c r="B740" s="10">
        <f t="shared" si="37"/>
        <v>1344.8304000000001</v>
      </c>
      <c r="C740" s="77" t="s">
        <v>5356</v>
      </c>
      <c r="D740" s="191" t="str">
        <f t="shared" si="35"/>
        <v>StrongLumio sada LED profil Maglyte 2m+příslušenství,černá elox</v>
      </c>
      <c r="E740" s="77" t="s">
        <v>3158</v>
      </c>
      <c r="F740" s="77" t="s">
        <v>3159</v>
      </c>
      <c r="G740" s="77" t="s">
        <v>6502</v>
      </c>
      <c r="H740" s="77" t="s">
        <v>6501</v>
      </c>
      <c r="I740" s="77" t="s">
        <v>889</v>
      </c>
      <c r="J740" s="90">
        <v>20</v>
      </c>
      <c r="K740" s="91">
        <v>1</v>
      </c>
      <c r="L740" s="77" t="s">
        <v>6565</v>
      </c>
      <c r="M740" s="78">
        <v>1344.8304000000001</v>
      </c>
      <c r="N740" s="79">
        <v>51.441600000000001</v>
      </c>
      <c r="O740" s="79">
        <v>153.60534000000001</v>
      </c>
      <c r="P740" s="79">
        <v>18503.63737</v>
      </c>
      <c r="Q740" s="77"/>
      <c r="R740" s="77"/>
      <c r="S740" s="77"/>
      <c r="T740" s="77"/>
      <c r="U740" s="77"/>
      <c r="V740" s="87"/>
      <c r="W740" s="87"/>
      <c r="X740" s="87"/>
      <c r="Y740" s="77"/>
      <c r="Z740" s="88"/>
      <c r="AA740" s="35"/>
      <c r="AB740" s="35"/>
    </row>
    <row r="741" spans="1:28" x14ac:dyDescent="0.25">
      <c r="A741" s="68" t="str">
        <f t="shared" si="36"/>
        <v>554666</v>
      </c>
      <c r="B741" s="10">
        <f t="shared" si="37"/>
        <v>1254.3552</v>
      </c>
      <c r="C741" s="77" t="s">
        <v>5357</v>
      </c>
      <c r="D741" s="191" t="str">
        <f t="shared" si="35"/>
        <v>StrongLumio sada LED profil Maglyte 2m+příslušenství,stříbrná elox</v>
      </c>
      <c r="E741" s="77" t="s">
        <v>3160</v>
      </c>
      <c r="F741" s="77" t="s">
        <v>3161</v>
      </c>
      <c r="G741" s="77" t="s">
        <v>6504</v>
      </c>
      <c r="H741" s="77" t="s">
        <v>6503</v>
      </c>
      <c r="I741" s="77" t="s">
        <v>889</v>
      </c>
      <c r="J741" s="90">
        <v>20</v>
      </c>
      <c r="K741" s="91">
        <v>1</v>
      </c>
      <c r="L741" s="77" t="s">
        <v>6565</v>
      </c>
      <c r="M741" s="78">
        <v>1254.3552</v>
      </c>
      <c r="N741" s="79">
        <v>47.980800000000002</v>
      </c>
      <c r="O741" s="79">
        <v>143.27135000000001</v>
      </c>
      <c r="P741" s="79">
        <v>17258.781309999998</v>
      </c>
      <c r="Q741" s="77"/>
      <c r="R741" s="77"/>
      <c r="S741" s="77"/>
      <c r="T741" s="77"/>
      <c r="U741" s="77"/>
      <c r="V741" s="87"/>
      <c r="W741" s="87"/>
      <c r="X741" s="87"/>
      <c r="Y741" s="77"/>
      <c r="Z741" s="88"/>
      <c r="AA741" s="35"/>
      <c r="AB741" s="35"/>
    </row>
    <row r="742" spans="1:28" x14ac:dyDescent="0.25">
      <c r="A742" s="68" t="str">
        <f t="shared" si="36"/>
        <v>554675</v>
      </c>
      <c r="B742" s="10">
        <f t="shared" si="37"/>
        <v>1437.0624</v>
      </c>
      <c r="C742" s="77" t="s">
        <v>5358</v>
      </c>
      <c r="D742" s="191" t="str">
        <f t="shared" si="35"/>
        <v>StrongLumio sada LED profil Maglyte-10 Angular 2m+příslušenství,bílá lak</v>
      </c>
      <c r="E742" s="77" t="s">
        <v>3162</v>
      </c>
      <c r="F742" s="77" t="s">
        <v>3163</v>
      </c>
      <c r="G742" s="77" t="s">
        <v>6506</v>
      </c>
      <c r="H742" s="77" t="s">
        <v>6505</v>
      </c>
      <c r="I742" s="77" t="s">
        <v>889</v>
      </c>
      <c r="J742" s="90">
        <v>20</v>
      </c>
      <c r="K742" s="91">
        <v>1</v>
      </c>
      <c r="L742" s="77" t="s">
        <v>6565</v>
      </c>
      <c r="M742" s="78">
        <v>1437.0624</v>
      </c>
      <c r="N742" s="79">
        <v>54.9696</v>
      </c>
      <c r="O742" s="79">
        <v>164.13999000000001</v>
      </c>
      <c r="P742" s="79">
        <v>19772.665440000001</v>
      </c>
      <c r="Q742" s="77"/>
      <c r="R742" s="77"/>
      <c r="S742" s="77"/>
      <c r="T742" s="77"/>
      <c r="U742" s="77"/>
      <c r="V742" s="87"/>
      <c r="W742" s="87"/>
      <c r="X742" s="87"/>
      <c r="Y742" s="77"/>
      <c r="Z742" s="88"/>
      <c r="AA742" s="35"/>
      <c r="AB742" s="35"/>
    </row>
    <row r="743" spans="1:28" x14ac:dyDescent="0.25">
      <c r="A743" s="68" t="str">
        <f t="shared" si="36"/>
        <v>554674</v>
      </c>
      <c r="B743" s="10">
        <f t="shared" si="37"/>
        <v>1524.0239999999999</v>
      </c>
      <c r="C743" s="77" t="s">
        <v>5359</v>
      </c>
      <c r="D743" s="191" t="str">
        <f t="shared" si="35"/>
        <v>StrongLumio sada LED profil Maglyte-10 Angular 2m+příslušenství,černá elox</v>
      </c>
      <c r="E743" s="77" t="s">
        <v>3164</v>
      </c>
      <c r="F743" s="77" t="s">
        <v>3165</v>
      </c>
      <c r="G743" s="77" t="s">
        <v>6508</v>
      </c>
      <c r="H743" s="77" t="s">
        <v>6507</v>
      </c>
      <c r="I743" s="77" t="s">
        <v>889</v>
      </c>
      <c r="J743" s="90">
        <v>20</v>
      </c>
      <c r="K743" s="91">
        <v>1</v>
      </c>
      <c r="L743" s="77" t="s">
        <v>6565</v>
      </c>
      <c r="M743" s="78">
        <v>1524.0239999999999</v>
      </c>
      <c r="N743" s="79">
        <v>58.295999999999999</v>
      </c>
      <c r="O743" s="79">
        <v>174.07267999999999</v>
      </c>
      <c r="P743" s="79">
        <v>20969.17758</v>
      </c>
      <c r="Q743" s="77"/>
      <c r="R743" s="77"/>
      <c r="S743" s="77"/>
      <c r="T743" s="77"/>
      <c r="U743" s="77"/>
      <c r="V743" s="87"/>
      <c r="W743" s="87"/>
      <c r="X743" s="87"/>
      <c r="Y743" s="77"/>
      <c r="Z743" s="88"/>
      <c r="AA743" s="35"/>
      <c r="AB743" s="35"/>
    </row>
    <row r="744" spans="1:28" x14ac:dyDescent="0.25">
      <c r="A744" s="68" t="str">
        <f t="shared" si="36"/>
        <v>554673</v>
      </c>
      <c r="B744" s="10">
        <f t="shared" si="37"/>
        <v>1392.2639999999999</v>
      </c>
      <c r="C744" s="77" t="s">
        <v>5360</v>
      </c>
      <c r="D744" s="191" t="str">
        <f t="shared" si="35"/>
        <v>StrongLumio sada LED profil Maglyte-10 Angular 2m+příslušenství,stříbrná elox</v>
      </c>
      <c r="E744" s="77" t="s">
        <v>3166</v>
      </c>
      <c r="F744" s="77" t="s">
        <v>3167</v>
      </c>
      <c r="G744" s="77" t="s">
        <v>6510</v>
      </c>
      <c r="H744" s="77" t="s">
        <v>6509</v>
      </c>
      <c r="I744" s="77" t="s">
        <v>889</v>
      </c>
      <c r="J744" s="90">
        <v>20</v>
      </c>
      <c r="K744" s="91">
        <v>1</v>
      </c>
      <c r="L744" s="77" t="s">
        <v>6565</v>
      </c>
      <c r="M744" s="78">
        <v>1392.2639999999999</v>
      </c>
      <c r="N744" s="79">
        <v>53.256</v>
      </c>
      <c r="O744" s="79">
        <v>159.02316999999999</v>
      </c>
      <c r="P744" s="79">
        <v>19156.28038</v>
      </c>
      <c r="Q744" s="77"/>
      <c r="R744" s="77"/>
      <c r="S744" s="77"/>
      <c r="T744" s="77"/>
      <c r="U744" s="77"/>
      <c r="V744" s="87"/>
      <c r="W744" s="87"/>
      <c r="X744" s="87"/>
      <c r="Y744" s="77"/>
      <c r="Z744" s="88"/>
      <c r="AA744" s="35"/>
      <c r="AB744" s="35"/>
    </row>
    <row r="745" spans="1:28" x14ac:dyDescent="0.25">
      <c r="A745" s="68" t="str">
        <f t="shared" si="36"/>
        <v>551045</v>
      </c>
      <c r="B745" s="10">
        <f t="shared" si="37"/>
        <v>363.26215999999999</v>
      </c>
      <c r="C745" s="77" t="s">
        <v>5361</v>
      </c>
      <c r="D745" s="191" t="str">
        <f t="shared" si="35"/>
        <v>StrongLumio sada magnetických držáků profilů Maglyte</v>
      </c>
      <c r="E745" s="77" t="s">
        <v>3168</v>
      </c>
      <c r="F745" s="77" t="s">
        <v>3169</v>
      </c>
      <c r="G745" s="77" t="s">
        <v>3170</v>
      </c>
      <c r="H745" s="77" t="s">
        <v>6511</v>
      </c>
      <c r="I745" s="77" t="s">
        <v>889</v>
      </c>
      <c r="J745" s="90">
        <v>10</v>
      </c>
      <c r="K745" s="91">
        <v>1</v>
      </c>
      <c r="L745" s="77" t="s">
        <v>227</v>
      </c>
      <c r="M745" s="78">
        <v>363.26215999999999</v>
      </c>
      <c r="N745" s="79">
        <v>14.23152</v>
      </c>
      <c r="O745" s="79">
        <v>35.710479999999997</v>
      </c>
      <c r="P745" s="79">
        <v>5099.7046099999998</v>
      </c>
      <c r="Q745" s="77"/>
      <c r="R745" s="77"/>
      <c r="S745" s="77"/>
      <c r="T745" s="77"/>
      <c r="U745" s="77"/>
      <c r="V745" s="87"/>
      <c r="W745" s="87"/>
      <c r="X745" s="87"/>
      <c r="Y745" s="77"/>
      <c r="Z745" s="88"/>
      <c r="AA745" s="35"/>
      <c r="AB745" s="35"/>
    </row>
    <row r="746" spans="1:28" x14ac:dyDescent="0.25">
      <c r="A746" s="68" t="str">
        <f t="shared" si="36"/>
        <v>406053</v>
      </c>
      <c r="B746" s="10">
        <f t="shared" si="37"/>
        <v>239.88329999999999</v>
      </c>
      <c r="C746" s="77" t="s">
        <v>5362</v>
      </c>
      <c r="D746" s="191" t="str">
        <f t="shared" si="35"/>
        <v>StrongLumio silikonový ohebný profil 8x16mm pro LED pásky do 10W/m, 10mm</v>
      </c>
      <c r="E746" s="77" t="s">
        <v>3171</v>
      </c>
      <c r="F746" s="77" t="s">
        <v>3172</v>
      </c>
      <c r="G746" s="77" t="s">
        <v>3174</v>
      </c>
      <c r="H746" s="77" t="s">
        <v>3173</v>
      </c>
      <c r="I746" s="77" t="s">
        <v>992</v>
      </c>
      <c r="J746" s="90">
        <v>5</v>
      </c>
      <c r="K746" s="91">
        <v>1</v>
      </c>
      <c r="L746" s="77" t="s">
        <v>227</v>
      </c>
      <c r="M746" s="78">
        <v>239.88329999999999</v>
      </c>
      <c r="N746" s="79">
        <v>10.003310000000001</v>
      </c>
      <c r="O746" s="79">
        <v>27.745850000000001</v>
      </c>
      <c r="P746" s="79">
        <v>3475.2418899999998</v>
      </c>
      <c r="Q746" s="77"/>
      <c r="R746" s="77"/>
      <c r="S746" s="77"/>
      <c r="T746" s="77"/>
      <c r="U746" s="77"/>
      <c r="V746" s="87"/>
      <c r="W746" s="87"/>
      <c r="X746" s="87"/>
      <c r="Y746" s="77"/>
      <c r="Z746" s="88"/>
      <c r="AA746" s="35"/>
      <c r="AB746" s="35"/>
    </row>
    <row r="747" spans="1:28" x14ac:dyDescent="0.25">
      <c r="A747" s="68" t="str">
        <f t="shared" si="36"/>
        <v>503155</v>
      </c>
      <c r="B747" s="10">
        <f t="shared" si="37"/>
        <v>10.82963</v>
      </c>
      <c r="C747" s="77" t="s">
        <v>5363</v>
      </c>
      <c r="D747" s="191" t="str">
        <f t="shared" si="35"/>
        <v>StrongLumio Smršťovací bužírka 10,0/5,0mm hnědá</v>
      </c>
      <c r="E747" s="77" t="s">
        <v>3175</v>
      </c>
      <c r="F747" s="77" t="s">
        <v>3176</v>
      </c>
      <c r="G747" s="77" t="s">
        <v>3178</v>
      </c>
      <c r="H747" s="77" t="s">
        <v>3177</v>
      </c>
      <c r="I747" s="77" t="s">
        <v>992</v>
      </c>
      <c r="J747" s="90">
        <v>100</v>
      </c>
      <c r="K747" s="91">
        <v>1</v>
      </c>
      <c r="L747" s="77" t="s">
        <v>6565</v>
      </c>
      <c r="M747" s="78">
        <v>10.82963</v>
      </c>
      <c r="N747" s="79">
        <v>0.46650000000000003</v>
      </c>
      <c r="O747" s="79">
        <v>1.60575</v>
      </c>
      <c r="P747" s="79">
        <v>156.81842</v>
      </c>
      <c r="Q747" s="77"/>
      <c r="R747" s="77"/>
      <c r="S747" s="77"/>
      <c r="T747" s="77"/>
      <c r="U747" s="77"/>
      <c r="V747" s="87"/>
      <c r="W747" s="87"/>
      <c r="X747" s="87"/>
      <c r="Y747" s="77"/>
      <c r="Z747" s="88"/>
      <c r="AA747" s="35"/>
      <c r="AB747" s="35"/>
    </row>
    <row r="748" spans="1:28" x14ac:dyDescent="0.25">
      <c r="A748" s="68" t="str">
        <f t="shared" si="36"/>
        <v>359355</v>
      </c>
      <c r="B748" s="10">
        <f t="shared" si="37"/>
        <v>9.7191700000000001</v>
      </c>
      <c r="C748" s="77" t="s">
        <v>5364</v>
      </c>
      <c r="D748" s="191" t="str">
        <f t="shared" si="35"/>
        <v>StrongLumio Smršťovací bužírka 10,0/5,0mm, černá</v>
      </c>
      <c r="E748" s="77" t="s">
        <v>3179</v>
      </c>
      <c r="F748" s="77" t="s">
        <v>3180</v>
      </c>
      <c r="G748" s="77" t="s">
        <v>3182</v>
      </c>
      <c r="H748" s="77" t="s">
        <v>3181</v>
      </c>
      <c r="I748" s="77" t="s">
        <v>992</v>
      </c>
      <c r="J748" s="90">
        <v>100</v>
      </c>
      <c r="K748" s="91">
        <v>1</v>
      </c>
      <c r="L748" s="77" t="s">
        <v>227</v>
      </c>
      <c r="M748" s="78">
        <v>9.7191700000000001</v>
      </c>
      <c r="N748" s="79">
        <v>0.41610000000000003</v>
      </c>
      <c r="O748" s="79">
        <v>1.98099</v>
      </c>
      <c r="P748" s="79">
        <v>143.47998999999999</v>
      </c>
      <c r="Q748" s="77"/>
      <c r="R748" s="77"/>
      <c r="S748" s="77"/>
      <c r="T748" s="77"/>
      <c r="U748" s="77"/>
      <c r="V748" s="87"/>
      <c r="W748" s="87"/>
      <c r="X748" s="87"/>
      <c r="Y748" s="77"/>
      <c r="Z748" s="88"/>
      <c r="AA748" s="35"/>
      <c r="AB748" s="35"/>
    </row>
    <row r="749" spans="1:28" x14ac:dyDescent="0.25">
      <c r="A749" s="68" t="str">
        <f t="shared" si="36"/>
        <v>377420</v>
      </c>
      <c r="B749" s="10">
        <f t="shared" si="37"/>
        <v>4.032</v>
      </c>
      <c r="C749" s="77" t="s">
        <v>5365</v>
      </c>
      <c r="D749" s="191" t="str">
        <f t="shared" si="35"/>
        <v>StrongLumio Smršťovací bužírka 2,0/1,0mm černá</v>
      </c>
      <c r="E749" s="77" t="s">
        <v>3183</v>
      </c>
      <c r="F749" s="77" t="s">
        <v>3184</v>
      </c>
      <c r="G749" s="77" t="s">
        <v>3186</v>
      </c>
      <c r="H749" s="77" t="s">
        <v>3185</v>
      </c>
      <c r="I749" s="77" t="s">
        <v>992</v>
      </c>
      <c r="J749" s="90">
        <v>10</v>
      </c>
      <c r="K749" s="91">
        <v>10</v>
      </c>
      <c r="L749" s="77" t="s">
        <v>6565</v>
      </c>
      <c r="M749" s="78">
        <v>4.032</v>
      </c>
      <c r="N749" s="79">
        <v>0.17262</v>
      </c>
      <c r="O749" s="79">
        <v>0.59843999999999997</v>
      </c>
      <c r="P749" s="79">
        <v>59.522739999999999</v>
      </c>
      <c r="Q749" s="77"/>
      <c r="R749" s="77"/>
      <c r="S749" s="77"/>
      <c r="T749" s="77"/>
      <c r="U749" s="77"/>
      <c r="V749" s="87"/>
      <c r="W749" s="87"/>
      <c r="X749" s="87"/>
      <c r="Y749" s="77"/>
      <c r="Z749" s="88"/>
      <c r="AA749" s="35"/>
      <c r="AB749" s="35"/>
    </row>
    <row r="750" spans="1:28" x14ac:dyDescent="0.25">
      <c r="A750" s="68" t="str">
        <f t="shared" si="36"/>
        <v>514023</v>
      </c>
      <c r="B750" s="10">
        <f t="shared" si="37"/>
        <v>13.44</v>
      </c>
      <c r="C750" s="77" t="s">
        <v>5366</v>
      </c>
      <c r="D750" s="191" t="str">
        <f t="shared" si="35"/>
        <v>StrongLumio Smršťovací bužírka 8,0/4,0mm čirá</v>
      </c>
      <c r="E750" s="77" t="s">
        <v>3187</v>
      </c>
      <c r="F750" s="77" t="s">
        <v>3188</v>
      </c>
      <c r="G750" s="77" t="s">
        <v>3190</v>
      </c>
      <c r="H750" s="77" t="s">
        <v>3189</v>
      </c>
      <c r="I750" s="77" t="s">
        <v>992</v>
      </c>
      <c r="J750" s="90">
        <v>100</v>
      </c>
      <c r="K750" s="91">
        <v>1</v>
      </c>
      <c r="L750" s="77" t="s">
        <v>227</v>
      </c>
      <c r="M750" s="78">
        <v>13.44</v>
      </c>
      <c r="N750" s="79">
        <v>0.57540000000000002</v>
      </c>
      <c r="O750" s="79">
        <v>1.88181</v>
      </c>
      <c r="P750" s="79">
        <v>198.4091</v>
      </c>
      <c r="Q750" s="77"/>
      <c r="R750" s="77"/>
      <c r="S750" s="77"/>
      <c r="T750" s="77"/>
      <c r="U750" s="77"/>
      <c r="V750" s="87"/>
      <c r="W750" s="87"/>
      <c r="X750" s="87"/>
      <c r="Y750" s="77"/>
      <c r="Z750" s="88"/>
      <c r="AA750" s="35"/>
      <c r="AB750" s="35"/>
    </row>
    <row r="751" spans="1:28" x14ac:dyDescent="0.25">
      <c r="A751" s="68" t="str">
        <f t="shared" si="36"/>
        <v>481469</v>
      </c>
      <c r="B751" s="10">
        <f t="shared" si="37"/>
        <v>10.0464</v>
      </c>
      <c r="C751" s="77" t="s">
        <v>5367</v>
      </c>
      <c r="D751" s="191" t="str">
        <f t="shared" si="35"/>
        <v>StrongLumio Smršťovací bužírka 8,0/4,0mm žlutozelená</v>
      </c>
      <c r="E751" s="77" t="s">
        <v>3191</v>
      </c>
      <c r="F751" s="77" t="s">
        <v>3192</v>
      </c>
      <c r="G751" s="77" t="s">
        <v>3194</v>
      </c>
      <c r="H751" s="77" t="s">
        <v>3193</v>
      </c>
      <c r="I751" s="77" t="s">
        <v>992</v>
      </c>
      <c r="J751" s="90">
        <v>100</v>
      </c>
      <c r="K751" s="91">
        <v>1</v>
      </c>
      <c r="L751" s="77" t="s">
        <v>227</v>
      </c>
      <c r="M751" s="78">
        <v>10.0464</v>
      </c>
      <c r="N751" s="79">
        <v>0.43010999999999999</v>
      </c>
      <c r="O751" s="79">
        <v>1.41869</v>
      </c>
      <c r="P751" s="79">
        <v>148.3108</v>
      </c>
      <c r="Q751" s="77"/>
      <c r="R751" s="77"/>
      <c r="S751" s="77"/>
      <c r="T751" s="77"/>
      <c r="U751" s="77"/>
      <c r="V751" s="87"/>
      <c r="W751" s="87"/>
      <c r="X751" s="87"/>
      <c r="Y751" s="77"/>
      <c r="Z751" s="88"/>
      <c r="AA751" s="35"/>
      <c r="AB751" s="35"/>
    </row>
    <row r="752" spans="1:28" x14ac:dyDescent="0.25">
      <c r="A752" s="68" t="str">
        <f t="shared" si="36"/>
        <v>359353</v>
      </c>
      <c r="B752" s="10">
        <f t="shared" si="37"/>
        <v>8.0529299999999999</v>
      </c>
      <c r="C752" s="77" t="s">
        <v>5368</v>
      </c>
      <c r="D752" s="191" t="str">
        <f t="shared" si="35"/>
        <v>StrongLumio Smršťovací bužírka 8,0/4,0mm, černá</v>
      </c>
      <c r="E752" s="77" t="s">
        <v>3195</v>
      </c>
      <c r="F752" s="77" t="s">
        <v>3196</v>
      </c>
      <c r="G752" s="77" t="s">
        <v>3198</v>
      </c>
      <c r="H752" s="77" t="s">
        <v>3197</v>
      </c>
      <c r="I752" s="77" t="s">
        <v>992</v>
      </c>
      <c r="J752" s="90">
        <v>100</v>
      </c>
      <c r="K752" s="91">
        <v>1</v>
      </c>
      <c r="L752" s="77" t="s">
        <v>227</v>
      </c>
      <c r="M752" s="78">
        <v>8.0529299999999999</v>
      </c>
      <c r="N752" s="79">
        <v>0.34478999999999999</v>
      </c>
      <c r="O752" s="79">
        <v>1.4737499999999999</v>
      </c>
      <c r="P752" s="79">
        <v>118.88200000000001</v>
      </c>
      <c r="Q752" s="77"/>
      <c r="R752" s="77"/>
      <c r="S752" s="77"/>
      <c r="T752" s="77"/>
      <c r="U752" s="77"/>
      <c r="V752" s="87"/>
      <c r="W752" s="87"/>
      <c r="X752" s="87"/>
      <c r="Y752" s="77"/>
      <c r="Z752" s="88"/>
      <c r="AA752" s="35"/>
      <c r="AB752" s="35"/>
    </row>
    <row r="753" spans="1:28" x14ac:dyDescent="0.25">
      <c r="A753" s="68" t="str">
        <f t="shared" si="36"/>
        <v>551112</v>
      </c>
      <c r="B753" s="10">
        <f t="shared" si="37"/>
        <v>10.24666</v>
      </c>
      <c r="C753" s="77" t="s">
        <v>5369</v>
      </c>
      <c r="D753" s="191" t="str">
        <f t="shared" si="35"/>
        <v>StrongLumio Smršťovací bužírka 8,0/4,0mm, hnědá</v>
      </c>
      <c r="E753" s="77" t="s">
        <v>3199</v>
      </c>
      <c r="F753" s="77" t="s">
        <v>3200</v>
      </c>
      <c r="G753" s="77" t="s">
        <v>3202</v>
      </c>
      <c r="H753" s="77" t="s">
        <v>3201</v>
      </c>
      <c r="I753" s="77" t="s">
        <v>992</v>
      </c>
      <c r="J753" s="90">
        <v>100</v>
      </c>
      <c r="K753" s="91">
        <v>1</v>
      </c>
      <c r="L753" s="77" t="s">
        <v>6565</v>
      </c>
      <c r="M753" s="78">
        <v>10.24666</v>
      </c>
      <c r="N753" s="79">
        <v>0.44141999999999998</v>
      </c>
      <c r="O753" s="79">
        <v>1.5193099999999999</v>
      </c>
      <c r="P753" s="79">
        <v>148.37665000000001</v>
      </c>
      <c r="Q753" s="77"/>
      <c r="R753" s="77"/>
      <c r="S753" s="77"/>
      <c r="T753" s="77"/>
      <c r="U753" s="77"/>
      <c r="V753" s="87"/>
      <c r="W753" s="87"/>
      <c r="X753" s="87"/>
      <c r="Y753" s="77"/>
      <c r="Z753" s="88"/>
      <c r="AA753" s="35"/>
      <c r="AB753" s="35"/>
    </row>
    <row r="754" spans="1:28" x14ac:dyDescent="0.25">
      <c r="A754" s="68" t="str">
        <f t="shared" si="36"/>
        <v>535067</v>
      </c>
      <c r="B754" s="10">
        <f t="shared" si="37"/>
        <v>732.38256000000001</v>
      </c>
      <c r="C754" s="77" t="s">
        <v>5370</v>
      </c>
      <c r="D754" s="191" t="str">
        <f t="shared" si="35"/>
        <v>StrongLumio spínací relé pro bezdrátové samonapájecí vypínače 230V</v>
      </c>
      <c r="E754" s="77" t="s">
        <v>204</v>
      </c>
      <c r="F754" s="77" t="s">
        <v>3203</v>
      </c>
      <c r="G754" s="77" t="s">
        <v>3204</v>
      </c>
      <c r="H754" s="77" t="s">
        <v>6512</v>
      </c>
      <c r="I754" s="77" t="s">
        <v>795</v>
      </c>
      <c r="J754" s="90">
        <v>235</v>
      </c>
      <c r="K754" s="91">
        <v>1</v>
      </c>
      <c r="L754" s="77" t="s">
        <v>227</v>
      </c>
      <c r="M754" s="78">
        <v>732.38256000000001</v>
      </c>
      <c r="N754" s="79">
        <v>27.956199999999999</v>
      </c>
      <c r="O754" s="79">
        <v>71.652889999999999</v>
      </c>
      <c r="P754" s="79">
        <v>9058.5350699999999</v>
      </c>
      <c r="Q754" s="77"/>
      <c r="R754" s="77"/>
      <c r="S754" s="77"/>
      <c r="T754" s="77"/>
      <c r="U754" s="77"/>
      <c r="V754" s="87"/>
      <c r="W754" s="87"/>
      <c r="X754" s="87"/>
      <c r="Y754" s="77"/>
      <c r="Z754" s="88"/>
      <c r="AA754" s="35"/>
      <c r="AB754" s="35"/>
    </row>
    <row r="755" spans="1:28" x14ac:dyDescent="0.25">
      <c r="A755" s="68" t="str">
        <f t="shared" si="36"/>
        <v>388183</v>
      </c>
      <c r="B755" s="10">
        <f t="shared" si="37"/>
        <v>38.787840000000003</v>
      </c>
      <c r="C755" s="77" t="s">
        <v>5371</v>
      </c>
      <c r="D755" s="191" t="str">
        <f t="shared" si="35"/>
        <v>StrongLumio spojka 2 LED pásků 10mm, zacvakávací</v>
      </c>
      <c r="E755" s="77" t="s">
        <v>3205</v>
      </c>
      <c r="F755" s="77" t="s">
        <v>3206</v>
      </c>
      <c r="G755" s="77" t="s">
        <v>3208</v>
      </c>
      <c r="H755" s="77" t="s">
        <v>3207</v>
      </c>
      <c r="I755" s="77" t="s">
        <v>795</v>
      </c>
      <c r="J755" s="90">
        <v>100</v>
      </c>
      <c r="K755" s="91">
        <v>1</v>
      </c>
      <c r="L755" s="77" t="s">
        <v>160</v>
      </c>
      <c r="M755" s="78">
        <v>38.787840000000003</v>
      </c>
      <c r="N755" s="79">
        <v>1.7257899999999999</v>
      </c>
      <c r="O755" s="79">
        <v>6.6386399999999997</v>
      </c>
      <c r="P755" s="79">
        <v>602.69863999999995</v>
      </c>
      <c r="Q755" s="77"/>
      <c r="R755" s="77"/>
      <c r="S755" s="77"/>
      <c r="T755" s="77"/>
      <c r="U755" s="77"/>
      <c r="V755" s="87"/>
      <c r="W755" s="87"/>
      <c r="X755" s="87"/>
      <c r="Y755" s="77"/>
      <c r="Z755" s="88"/>
      <c r="AA755" s="35"/>
      <c r="AB755" s="35"/>
    </row>
    <row r="756" spans="1:28" x14ac:dyDescent="0.25">
      <c r="A756" s="68" t="str">
        <f t="shared" si="36"/>
        <v>543623</v>
      </c>
      <c r="B756" s="10">
        <f t="shared" si="37"/>
        <v>13.488720000000001</v>
      </c>
      <c r="C756" s="77" t="s">
        <v>5372</v>
      </c>
      <c r="D756" s="191" t="str">
        <f t="shared" si="35"/>
        <v>StrongLumio spojka CCT LED pásek 10mm - kabel trojlinka</v>
      </c>
      <c r="E756" s="77" t="s">
        <v>3209</v>
      </c>
      <c r="F756" s="77" t="s">
        <v>3210</v>
      </c>
      <c r="G756" s="77" t="s">
        <v>3211</v>
      </c>
      <c r="H756" s="77" t="s">
        <v>6513</v>
      </c>
      <c r="I756" s="77" t="s">
        <v>795</v>
      </c>
      <c r="J756" s="90">
        <v>100</v>
      </c>
      <c r="K756" s="91">
        <v>1</v>
      </c>
      <c r="L756" s="77" t="s">
        <v>227</v>
      </c>
      <c r="M756" s="78">
        <v>13.488720000000001</v>
      </c>
      <c r="N756" s="79">
        <v>0.61600999999999995</v>
      </c>
      <c r="O756" s="79">
        <v>3.0217200000000002</v>
      </c>
      <c r="P756" s="79">
        <v>207.56399999999999</v>
      </c>
      <c r="Q756" s="77"/>
      <c r="R756" s="77"/>
      <c r="S756" s="77"/>
      <c r="T756" s="77"/>
      <c r="U756" s="77"/>
      <c r="V756" s="87"/>
      <c r="W756" s="87"/>
      <c r="X756" s="87"/>
      <c r="Y756" s="77"/>
      <c r="Z756" s="88"/>
      <c r="AA756" s="35"/>
      <c r="AB756" s="35"/>
    </row>
    <row r="757" spans="1:28" x14ac:dyDescent="0.25">
      <c r="A757" s="68" t="str">
        <f t="shared" si="36"/>
        <v>543624</v>
      </c>
      <c r="B757" s="10">
        <f t="shared" si="37"/>
        <v>13.488720000000001</v>
      </c>
      <c r="C757" s="77" t="s">
        <v>5373</v>
      </c>
      <c r="D757" s="191" t="str">
        <f t="shared" si="35"/>
        <v>StrongLumio spojka CCT LED pásek 10mm - LED pásek</v>
      </c>
      <c r="E757" s="77" t="s">
        <v>3212</v>
      </c>
      <c r="F757" s="77" t="s">
        <v>3213</v>
      </c>
      <c r="G757" s="77" t="s">
        <v>3214</v>
      </c>
      <c r="H757" s="77" t="s">
        <v>6514</v>
      </c>
      <c r="I757" s="77" t="s">
        <v>795</v>
      </c>
      <c r="J757" s="90">
        <v>100</v>
      </c>
      <c r="K757" s="91">
        <v>1</v>
      </c>
      <c r="L757" s="77" t="s">
        <v>227</v>
      </c>
      <c r="M757" s="78">
        <v>13.488720000000001</v>
      </c>
      <c r="N757" s="79">
        <v>0.61600999999999995</v>
      </c>
      <c r="O757" s="79">
        <v>3.0217200000000002</v>
      </c>
      <c r="P757" s="79">
        <v>207.56399999999999</v>
      </c>
      <c r="Q757" s="77"/>
      <c r="R757" s="77"/>
      <c r="S757" s="77"/>
      <c r="T757" s="77"/>
      <c r="U757" s="77"/>
      <c r="V757" s="87"/>
      <c r="W757" s="87"/>
      <c r="X757" s="87"/>
      <c r="Y757" s="77"/>
      <c r="Z757" s="88"/>
      <c r="AA757" s="35"/>
      <c r="AB757" s="35"/>
    </row>
    <row r="758" spans="1:28" x14ac:dyDescent="0.25">
      <c r="A758" s="68" t="str">
        <f t="shared" si="36"/>
        <v>543620</v>
      </c>
      <c r="B758" s="10">
        <f t="shared" si="37"/>
        <v>15.174810000000001</v>
      </c>
      <c r="C758" s="77" t="s">
        <v>5374</v>
      </c>
      <c r="D758" s="191" t="str">
        <f t="shared" si="35"/>
        <v>StrongLumio spojka CCT/RGB COB LED pásek 10mm - kabel trojlinka/čtyřlinka</v>
      </c>
      <c r="E758" s="77" t="s">
        <v>3215</v>
      </c>
      <c r="F758" s="77" t="s">
        <v>3216</v>
      </c>
      <c r="G758" s="77" t="s">
        <v>3217</v>
      </c>
      <c r="H758" s="77" t="s">
        <v>6515</v>
      </c>
      <c r="I758" s="77" t="s">
        <v>795</v>
      </c>
      <c r="J758" s="90">
        <v>100</v>
      </c>
      <c r="K758" s="91">
        <v>1</v>
      </c>
      <c r="L758" s="77" t="s">
        <v>227</v>
      </c>
      <c r="M758" s="78">
        <v>15.174810000000001</v>
      </c>
      <c r="N758" s="79">
        <v>0.69296999999999997</v>
      </c>
      <c r="O758" s="79">
        <v>3.3994800000000001</v>
      </c>
      <c r="P758" s="79">
        <v>233.5095</v>
      </c>
      <c r="Q758" s="77"/>
      <c r="R758" s="77"/>
      <c r="S758" s="77"/>
      <c r="T758" s="77"/>
      <c r="U758" s="77"/>
      <c r="V758" s="87"/>
      <c r="W758" s="87"/>
      <c r="X758" s="87"/>
      <c r="Y758" s="77"/>
      <c r="Z758" s="88"/>
      <c r="AA758" s="35"/>
      <c r="AB758" s="35"/>
    </row>
    <row r="759" spans="1:28" x14ac:dyDescent="0.25">
      <c r="A759" s="68" t="str">
        <f t="shared" si="36"/>
        <v>543621</v>
      </c>
      <c r="B759" s="10">
        <f t="shared" si="37"/>
        <v>15.174810000000001</v>
      </c>
      <c r="C759" s="77" t="s">
        <v>5375</v>
      </c>
      <c r="D759" s="191" t="str">
        <f t="shared" si="35"/>
        <v>StrongLumio spojka CCT/RGB COB LED pásek 10mm - LED pásek</v>
      </c>
      <c r="E759" s="77" t="s">
        <v>3218</v>
      </c>
      <c r="F759" s="77" t="s">
        <v>3219</v>
      </c>
      <c r="G759" s="77" t="s">
        <v>3220</v>
      </c>
      <c r="H759" s="77" t="s">
        <v>6516</v>
      </c>
      <c r="I759" s="77" t="s">
        <v>795</v>
      </c>
      <c r="J759" s="90">
        <v>100</v>
      </c>
      <c r="K759" s="91">
        <v>1</v>
      </c>
      <c r="L759" s="77" t="s">
        <v>227</v>
      </c>
      <c r="M759" s="78">
        <v>15.174810000000001</v>
      </c>
      <c r="N759" s="79">
        <v>0.69296999999999997</v>
      </c>
      <c r="O759" s="79">
        <v>3.3994800000000001</v>
      </c>
      <c r="P759" s="79">
        <v>233.5095</v>
      </c>
      <c r="Q759" s="77"/>
      <c r="R759" s="77"/>
      <c r="S759" s="77"/>
      <c r="T759" s="77"/>
      <c r="U759" s="77"/>
      <c r="V759" s="87"/>
      <c r="W759" s="87"/>
      <c r="X759" s="87"/>
      <c r="Y759" s="77"/>
      <c r="Z759" s="88"/>
      <c r="AA759" s="35"/>
      <c r="AB759" s="35"/>
    </row>
    <row r="760" spans="1:28" x14ac:dyDescent="0.25">
      <c r="A760" s="68" t="str">
        <f t="shared" si="36"/>
        <v>543617</v>
      </c>
      <c r="B760" s="10">
        <f t="shared" si="37"/>
        <v>10.116540000000001</v>
      </c>
      <c r="C760" s="77" t="s">
        <v>5376</v>
      </c>
      <c r="D760" s="191" t="str">
        <f t="shared" si="35"/>
        <v>StrongLumio spojka COB LED pásek 5mm - kabel dvojlinka</v>
      </c>
      <c r="E760" s="77" t="s">
        <v>3221</v>
      </c>
      <c r="F760" s="77" t="s">
        <v>3222</v>
      </c>
      <c r="G760" s="77" t="s">
        <v>3223</v>
      </c>
      <c r="H760" s="77" t="s">
        <v>6517</v>
      </c>
      <c r="I760" s="77" t="s">
        <v>795</v>
      </c>
      <c r="J760" s="90">
        <v>100</v>
      </c>
      <c r="K760" s="91">
        <v>1</v>
      </c>
      <c r="L760" s="77" t="s">
        <v>227</v>
      </c>
      <c r="M760" s="78">
        <v>10.116540000000001</v>
      </c>
      <c r="N760" s="79">
        <v>0.46198</v>
      </c>
      <c r="O760" s="79">
        <v>2.2663199999999999</v>
      </c>
      <c r="P760" s="79">
        <v>155.673</v>
      </c>
      <c r="Q760" s="77"/>
      <c r="R760" s="77"/>
      <c r="S760" s="77"/>
      <c r="T760" s="77"/>
      <c r="U760" s="77"/>
      <c r="V760" s="87"/>
      <c r="W760" s="87"/>
      <c r="X760" s="87"/>
      <c r="Y760" s="77"/>
      <c r="Z760" s="88"/>
      <c r="AA760" s="35"/>
      <c r="AB760" s="35"/>
    </row>
    <row r="761" spans="1:28" x14ac:dyDescent="0.25">
      <c r="A761" s="68" t="str">
        <f t="shared" si="36"/>
        <v>543618</v>
      </c>
      <c r="B761" s="10">
        <f t="shared" si="37"/>
        <v>10.116540000000001</v>
      </c>
      <c r="C761" s="77" t="s">
        <v>5377</v>
      </c>
      <c r="D761" s="191" t="str">
        <f t="shared" si="35"/>
        <v>StrongLumio spojka COB LED pásek 5mm - LED pásek</v>
      </c>
      <c r="E761" s="77" t="s">
        <v>3224</v>
      </c>
      <c r="F761" s="77" t="s">
        <v>3225</v>
      </c>
      <c r="G761" s="77" t="s">
        <v>3226</v>
      </c>
      <c r="H761" s="77" t="s">
        <v>6518</v>
      </c>
      <c r="I761" s="77" t="s">
        <v>795</v>
      </c>
      <c r="J761" s="90">
        <v>100</v>
      </c>
      <c r="K761" s="91">
        <v>1</v>
      </c>
      <c r="L761" s="77" t="s">
        <v>227</v>
      </c>
      <c r="M761" s="78">
        <v>10.116540000000001</v>
      </c>
      <c r="N761" s="79">
        <v>0.46198</v>
      </c>
      <c r="O761" s="79">
        <v>2.2663199999999999</v>
      </c>
      <c r="P761" s="79">
        <v>155.673</v>
      </c>
      <c r="Q761" s="77"/>
      <c r="R761" s="77"/>
      <c r="S761" s="77"/>
      <c r="T761" s="77"/>
      <c r="U761" s="77"/>
      <c r="V761" s="87"/>
      <c r="W761" s="87"/>
      <c r="X761" s="87"/>
      <c r="Y761" s="77"/>
      <c r="Z761" s="88"/>
      <c r="AA761" s="35"/>
      <c r="AB761" s="35"/>
    </row>
    <row r="762" spans="1:28" x14ac:dyDescent="0.25">
      <c r="A762" s="68" t="str">
        <f t="shared" si="36"/>
        <v>388184</v>
      </c>
      <c r="B762" s="10">
        <f t="shared" si="37"/>
        <v>38.787840000000003</v>
      </c>
      <c r="C762" s="77" t="s">
        <v>5378</v>
      </c>
      <c r="D762" s="191" t="str">
        <f t="shared" si="35"/>
        <v>StrongLumio spojka LED pásek 10mm/kabel, zacvakávací</v>
      </c>
      <c r="E762" s="77" t="s">
        <v>3227</v>
      </c>
      <c r="F762" s="77" t="s">
        <v>3228</v>
      </c>
      <c r="G762" s="77" t="s">
        <v>3230</v>
      </c>
      <c r="H762" s="77" t="s">
        <v>3229</v>
      </c>
      <c r="I762" s="77" t="s">
        <v>795</v>
      </c>
      <c r="J762" s="90">
        <v>100</v>
      </c>
      <c r="K762" s="91">
        <v>1</v>
      </c>
      <c r="L762" s="77" t="s">
        <v>160</v>
      </c>
      <c r="M762" s="78">
        <v>38.787840000000003</v>
      </c>
      <c r="N762" s="79">
        <v>1.7257899999999999</v>
      </c>
      <c r="O762" s="79">
        <v>5.3487900000000002</v>
      </c>
      <c r="P762" s="79">
        <v>602.69863999999995</v>
      </c>
      <c r="Q762" s="77"/>
      <c r="R762" s="77"/>
      <c r="S762" s="77"/>
      <c r="T762" s="77"/>
      <c r="U762" s="77"/>
      <c r="V762" s="87"/>
      <c r="W762" s="87"/>
      <c r="X762" s="87"/>
      <c r="Y762" s="77"/>
      <c r="Z762" s="88"/>
      <c r="AA762" s="35"/>
      <c r="AB762" s="35"/>
    </row>
    <row r="763" spans="1:28" x14ac:dyDescent="0.25">
      <c r="A763" s="68" t="str">
        <f t="shared" si="36"/>
        <v>378297</v>
      </c>
      <c r="B763" s="10">
        <f t="shared" si="37"/>
        <v>24.781120000000001</v>
      </c>
      <c r="C763" s="77" t="s">
        <v>5379</v>
      </c>
      <c r="D763" s="191" t="str">
        <f t="shared" si="35"/>
        <v>StrongLumio spojka LED pásek 8mm/kabel, zacvakávací</v>
      </c>
      <c r="E763" s="77" t="s">
        <v>3231</v>
      </c>
      <c r="F763" s="77" t="s">
        <v>3232</v>
      </c>
      <c r="G763" s="77" t="s">
        <v>3234</v>
      </c>
      <c r="H763" s="77" t="s">
        <v>3233</v>
      </c>
      <c r="I763" s="77" t="s">
        <v>795</v>
      </c>
      <c r="J763" s="90">
        <v>100</v>
      </c>
      <c r="K763" s="91">
        <v>1</v>
      </c>
      <c r="L763" s="77" t="s">
        <v>160</v>
      </c>
      <c r="M763" s="78">
        <v>24.781120000000001</v>
      </c>
      <c r="N763" s="79">
        <v>1.1026</v>
      </c>
      <c r="O763" s="79">
        <v>4.2893699999999999</v>
      </c>
      <c r="P763" s="79">
        <v>385.05745000000002</v>
      </c>
      <c r="Q763" s="77"/>
      <c r="R763" s="77"/>
      <c r="S763" s="77"/>
      <c r="T763" s="77"/>
      <c r="U763" s="77"/>
      <c r="V763" s="87"/>
      <c r="W763" s="87"/>
      <c r="X763" s="87"/>
      <c r="Y763" s="77"/>
      <c r="Z763" s="88"/>
      <c r="AA763" s="35"/>
      <c r="AB763" s="35"/>
    </row>
    <row r="764" spans="1:28" x14ac:dyDescent="0.25">
      <c r="A764" s="68" t="str">
        <f t="shared" si="36"/>
        <v>487105</v>
      </c>
      <c r="B764" s="10">
        <f t="shared" si="37"/>
        <v>35.555520000000001</v>
      </c>
      <c r="C764" s="77" t="s">
        <v>5380</v>
      </c>
      <c r="D764" s="191" t="str">
        <f t="shared" si="35"/>
        <v>StrongLumio spojka LED pásek CCT 10mm - 3-linka kabel 150mm</v>
      </c>
      <c r="E764" s="77" t="s">
        <v>3235</v>
      </c>
      <c r="F764" s="77" t="s">
        <v>3236</v>
      </c>
      <c r="G764" s="77" t="s">
        <v>3238</v>
      </c>
      <c r="H764" s="77" t="s">
        <v>3237</v>
      </c>
      <c r="I764" s="77" t="s">
        <v>795</v>
      </c>
      <c r="J764" s="90">
        <v>500</v>
      </c>
      <c r="K764" s="91">
        <v>1</v>
      </c>
      <c r="L764" s="77" t="s">
        <v>160</v>
      </c>
      <c r="M764" s="78">
        <v>35.555520000000001</v>
      </c>
      <c r="N764" s="79">
        <v>1.5819700000000001</v>
      </c>
      <c r="O764" s="79">
        <v>6.1544100000000004</v>
      </c>
      <c r="P764" s="79">
        <v>552.47373000000005</v>
      </c>
      <c r="Q764" s="77"/>
      <c r="R764" s="77"/>
      <c r="S764" s="77"/>
      <c r="T764" s="77"/>
      <c r="U764" s="77"/>
      <c r="V764" s="87"/>
      <c r="W764" s="87"/>
      <c r="X764" s="87"/>
      <c r="Y764" s="77"/>
      <c r="Z764" s="88"/>
      <c r="AA764" s="35"/>
      <c r="AB764" s="35"/>
    </row>
    <row r="765" spans="1:28" x14ac:dyDescent="0.25">
      <c r="A765" s="68" t="str">
        <f t="shared" si="36"/>
        <v>487107</v>
      </c>
      <c r="B765" s="10">
        <f t="shared" si="37"/>
        <v>54.949440000000003</v>
      </c>
      <c r="C765" s="77" t="s">
        <v>5381</v>
      </c>
      <c r="D765" s="191" t="str">
        <f t="shared" si="35"/>
        <v>StrongLumio spojka LED pásek CCT COB 10mm - 3-linka kabel 150mm</v>
      </c>
      <c r="E765" s="77" t="s">
        <v>3239</v>
      </c>
      <c r="F765" s="77" t="s">
        <v>3240</v>
      </c>
      <c r="G765" s="77" t="s">
        <v>3238</v>
      </c>
      <c r="H765" s="77" t="s">
        <v>3241</v>
      </c>
      <c r="I765" s="77" t="s">
        <v>795</v>
      </c>
      <c r="J765" s="90">
        <v>500</v>
      </c>
      <c r="K765" s="91">
        <v>1</v>
      </c>
      <c r="L765" s="77" t="s">
        <v>160</v>
      </c>
      <c r="M765" s="78">
        <v>54.949440000000003</v>
      </c>
      <c r="N765" s="79">
        <v>2.44489</v>
      </c>
      <c r="O765" s="79">
        <v>9.7013999999999996</v>
      </c>
      <c r="P765" s="79">
        <v>853.82306000000005</v>
      </c>
      <c r="Q765" s="77"/>
      <c r="R765" s="77"/>
      <c r="S765" s="77"/>
      <c r="T765" s="77"/>
      <c r="U765" s="77"/>
      <c r="V765" s="87"/>
      <c r="W765" s="87"/>
      <c r="X765" s="87"/>
      <c r="Y765" s="77"/>
      <c r="Z765" s="88"/>
      <c r="AA765" s="35"/>
      <c r="AB765" s="35"/>
    </row>
    <row r="766" spans="1:28" x14ac:dyDescent="0.25">
      <c r="A766" s="68" t="str">
        <f t="shared" si="36"/>
        <v>487104</v>
      </c>
      <c r="B766" s="10">
        <f t="shared" si="37"/>
        <v>28.013439999999999</v>
      </c>
      <c r="C766" s="77" t="s">
        <v>5382</v>
      </c>
      <c r="D766" s="191" t="str">
        <f t="shared" si="35"/>
        <v>StrongLumio spojka LED pásek COB CCT/RGB 10mm - LED pásek</v>
      </c>
      <c r="E766" s="77" t="s">
        <v>3242</v>
      </c>
      <c r="F766" s="77" t="s">
        <v>3243</v>
      </c>
      <c r="G766" s="77" t="s">
        <v>3245</v>
      </c>
      <c r="H766" s="77" t="s">
        <v>3244</v>
      </c>
      <c r="I766" s="77" t="s">
        <v>795</v>
      </c>
      <c r="J766" s="90">
        <v>1</v>
      </c>
      <c r="K766" s="91">
        <v>1</v>
      </c>
      <c r="L766" s="77" t="s">
        <v>160</v>
      </c>
      <c r="M766" s="78">
        <v>28.013439999999999</v>
      </c>
      <c r="N766" s="79">
        <v>1.2464200000000001</v>
      </c>
      <c r="O766" s="79">
        <v>3.9350700000000001</v>
      </c>
      <c r="P766" s="79">
        <v>435.28235999999998</v>
      </c>
      <c r="Q766" s="77"/>
      <c r="R766" s="77"/>
      <c r="S766" s="77"/>
      <c r="T766" s="77"/>
      <c r="U766" s="77"/>
      <c r="V766" s="87"/>
      <c r="W766" s="87"/>
      <c r="X766" s="87"/>
      <c r="Y766" s="77"/>
      <c r="Z766" s="88"/>
      <c r="AA766" s="35"/>
      <c r="AB766" s="35"/>
    </row>
    <row r="767" spans="1:28" x14ac:dyDescent="0.25">
      <c r="A767" s="68" t="str">
        <f t="shared" si="36"/>
        <v>467202</v>
      </c>
      <c r="B767" s="10">
        <f t="shared" si="37"/>
        <v>32.3232</v>
      </c>
      <c r="C767" s="77" t="s">
        <v>5383</v>
      </c>
      <c r="D767" s="191" t="str">
        <f t="shared" si="35"/>
        <v>StrongLumio spojka LED pásek dvoubarevný (CCT) 10mm - 3-linka kabel CCT</v>
      </c>
      <c r="E767" s="77" t="s">
        <v>3246</v>
      </c>
      <c r="F767" s="77" t="s">
        <v>3247</v>
      </c>
      <c r="G767" s="77" t="s">
        <v>3249</v>
      </c>
      <c r="H767" s="77" t="s">
        <v>3248</v>
      </c>
      <c r="I767" s="77" t="s">
        <v>795</v>
      </c>
      <c r="J767" s="90">
        <v>500</v>
      </c>
      <c r="K767" s="91">
        <v>1</v>
      </c>
      <c r="L767" s="77" t="s">
        <v>160</v>
      </c>
      <c r="M767" s="78">
        <v>32.3232</v>
      </c>
      <c r="N767" s="79">
        <v>1.4381900000000001</v>
      </c>
      <c r="O767" s="79">
        <v>5.5321499999999997</v>
      </c>
      <c r="P767" s="79">
        <v>502.24885999999998</v>
      </c>
      <c r="Q767" s="77"/>
      <c r="R767" s="77"/>
      <c r="S767" s="77"/>
      <c r="T767" s="77"/>
      <c r="U767" s="77"/>
      <c r="V767" s="87"/>
      <c r="W767" s="87"/>
      <c r="X767" s="87"/>
      <c r="Y767" s="77"/>
      <c r="Z767" s="88"/>
      <c r="AA767" s="35"/>
      <c r="AB767" s="35"/>
    </row>
    <row r="768" spans="1:28" x14ac:dyDescent="0.25">
      <c r="A768" s="68" t="str">
        <f t="shared" si="36"/>
        <v>467201</v>
      </c>
      <c r="B768" s="10">
        <f t="shared" si="37"/>
        <v>32.538690000000003</v>
      </c>
      <c r="C768" s="77" t="s">
        <v>5384</v>
      </c>
      <c r="D768" s="191" t="str">
        <f t="shared" si="35"/>
        <v>StrongLumio spojka LED pásek jednobarevný 10mm - 2-linka kabel</v>
      </c>
      <c r="E768" s="77" t="s">
        <v>3250</v>
      </c>
      <c r="F768" s="77" t="s">
        <v>3251</v>
      </c>
      <c r="G768" s="77" t="s">
        <v>3253</v>
      </c>
      <c r="H768" s="77" t="s">
        <v>3252</v>
      </c>
      <c r="I768" s="77" t="s">
        <v>795</v>
      </c>
      <c r="J768" s="90">
        <v>500</v>
      </c>
      <c r="K768" s="91">
        <v>1</v>
      </c>
      <c r="L768" s="77" t="s">
        <v>160</v>
      </c>
      <c r="M768" s="78">
        <v>32.538690000000003</v>
      </c>
      <c r="N768" s="79">
        <v>1.44774</v>
      </c>
      <c r="O768" s="79">
        <v>5.5692000000000004</v>
      </c>
      <c r="P768" s="79">
        <v>505.59717000000001</v>
      </c>
      <c r="Q768" s="77"/>
      <c r="R768" s="77"/>
      <c r="S768" s="77"/>
      <c r="T768" s="77"/>
      <c r="U768" s="77"/>
      <c r="V768" s="87"/>
      <c r="W768" s="87"/>
      <c r="X768" s="87"/>
      <c r="Y768" s="77"/>
      <c r="Z768" s="88"/>
      <c r="AA768" s="35"/>
      <c r="AB768" s="35"/>
    </row>
    <row r="769" spans="1:28" x14ac:dyDescent="0.25">
      <c r="A769" s="68" t="str">
        <f t="shared" si="36"/>
        <v>467204</v>
      </c>
      <c r="B769" s="10">
        <f t="shared" si="37"/>
        <v>0</v>
      </c>
      <c r="C769" s="77" t="s">
        <v>5385</v>
      </c>
      <c r="D769" s="191" t="str">
        <f t="shared" si="35"/>
        <v>StrongLumio spojka LED pásek jednobarevný 10mm - kabel 2-linka 150mm</v>
      </c>
      <c r="E769" s="77" t="s">
        <v>3254</v>
      </c>
      <c r="F769" s="77" t="s">
        <v>3255</v>
      </c>
      <c r="G769" s="77" t="s">
        <v>3257</v>
      </c>
      <c r="H769" s="77" t="s">
        <v>3256</v>
      </c>
      <c r="I769" s="77" t="s">
        <v>795</v>
      </c>
      <c r="J769" s="90">
        <v>500</v>
      </c>
      <c r="K769" s="91">
        <v>1</v>
      </c>
      <c r="L769" s="77" t="s">
        <v>160</v>
      </c>
      <c r="M769" s="78">
        <v>0</v>
      </c>
      <c r="N769" s="79">
        <v>0</v>
      </c>
      <c r="O769" s="79">
        <v>5.5289299999999999</v>
      </c>
      <c r="P769" s="79">
        <v>0</v>
      </c>
      <c r="Q769" s="77"/>
      <c r="R769" s="77"/>
      <c r="S769" s="77"/>
      <c r="T769" s="77"/>
      <c r="U769" s="77"/>
      <c r="V769" s="87"/>
      <c r="W769" s="87"/>
      <c r="X769" s="87"/>
      <c r="Y769" s="77"/>
      <c r="Z769" s="88"/>
      <c r="AA769" s="35"/>
      <c r="AB769" s="35"/>
    </row>
    <row r="770" spans="1:28" x14ac:dyDescent="0.25">
      <c r="A770" s="68" t="str">
        <f t="shared" si="36"/>
        <v>467203</v>
      </c>
      <c r="B770" s="10">
        <f t="shared" si="37"/>
        <v>33.723869999999998</v>
      </c>
      <c r="C770" s="77" t="s">
        <v>5386</v>
      </c>
      <c r="D770" s="191" t="str">
        <f t="shared" si="35"/>
        <v>StrongLumio spojka LED pásek RGB 10mm - 4-linka kabel RGB</v>
      </c>
      <c r="E770" s="77" t="s">
        <v>3258</v>
      </c>
      <c r="F770" s="77" t="s">
        <v>3259</v>
      </c>
      <c r="G770" s="77" t="s">
        <v>3261</v>
      </c>
      <c r="H770" s="77" t="s">
        <v>3260</v>
      </c>
      <c r="I770" s="77" t="s">
        <v>795</v>
      </c>
      <c r="J770" s="90">
        <v>500</v>
      </c>
      <c r="K770" s="91">
        <v>1</v>
      </c>
      <c r="L770" s="77" t="s">
        <v>160</v>
      </c>
      <c r="M770" s="78">
        <v>33.723869999999998</v>
      </c>
      <c r="N770" s="79">
        <v>1.5004999999999999</v>
      </c>
      <c r="O770" s="79">
        <v>5.8373699999999999</v>
      </c>
      <c r="P770" s="79">
        <v>524.01297</v>
      </c>
      <c r="Q770" s="77"/>
      <c r="R770" s="77"/>
      <c r="S770" s="77"/>
      <c r="T770" s="77"/>
      <c r="U770" s="77"/>
      <c r="V770" s="87"/>
      <c r="W770" s="87"/>
      <c r="X770" s="87"/>
      <c r="Y770" s="77"/>
      <c r="Z770" s="88"/>
      <c r="AA770" s="35"/>
      <c r="AB770" s="35"/>
    </row>
    <row r="771" spans="1:28" x14ac:dyDescent="0.25">
      <c r="A771" s="68" t="str">
        <f t="shared" si="36"/>
        <v>487108</v>
      </c>
      <c r="B771" s="10">
        <f t="shared" si="37"/>
        <v>57.104320000000001</v>
      </c>
      <c r="C771" s="77" t="s">
        <v>5387</v>
      </c>
      <c r="D771" s="191" t="str">
        <f t="shared" ref="D771:D834" si="38">IF($B$1=1,E771,IF($B$1=2,F771,IF($B$1=3,G771,IF($B$1=4,H771))))</f>
        <v>StrongLumio spojka LED pásek RGB COB 10mm - kabel čtyřlinka 150mm</v>
      </c>
      <c r="E771" s="77" t="s">
        <v>3262</v>
      </c>
      <c r="F771" s="77" t="s">
        <v>3263</v>
      </c>
      <c r="G771" s="77" t="s">
        <v>3265</v>
      </c>
      <c r="H771" s="77" t="s">
        <v>3264</v>
      </c>
      <c r="I771" s="77" t="s">
        <v>795</v>
      </c>
      <c r="J771" s="90">
        <v>500</v>
      </c>
      <c r="K771" s="91">
        <v>1</v>
      </c>
      <c r="L771" s="77" t="s">
        <v>160</v>
      </c>
      <c r="M771" s="78">
        <v>57.104320000000001</v>
      </c>
      <c r="N771" s="79">
        <v>2.5407899999999999</v>
      </c>
      <c r="O771" s="79">
        <v>10.08192</v>
      </c>
      <c r="P771" s="79">
        <v>887.30631000000005</v>
      </c>
      <c r="Q771" s="77"/>
      <c r="R771" s="77"/>
      <c r="S771" s="77"/>
      <c r="T771" s="77"/>
      <c r="U771" s="77"/>
      <c r="V771" s="87"/>
      <c r="W771" s="87"/>
      <c r="X771" s="87"/>
      <c r="Y771" s="77"/>
      <c r="Z771" s="88"/>
      <c r="AA771" s="35"/>
      <c r="AB771" s="35"/>
    </row>
    <row r="772" spans="1:28" x14ac:dyDescent="0.25">
      <c r="A772" s="68" t="str">
        <f t="shared" si="36"/>
        <v>487106</v>
      </c>
      <c r="B772" s="10">
        <f t="shared" si="37"/>
        <v>40.942720000000001</v>
      </c>
      <c r="C772" s="77" t="s">
        <v>5388</v>
      </c>
      <c r="D772" s="191" t="str">
        <f t="shared" si="38"/>
        <v>StrongLumio spojka LED pásek RGB COB 10mm - kabel čtyřlinka 150mm</v>
      </c>
      <c r="E772" s="77" t="s">
        <v>3262</v>
      </c>
      <c r="F772" s="77" t="s">
        <v>3263</v>
      </c>
      <c r="G772" s="77" t="s">
        <v>3267</v>
      </c>
      <c r="H772" s="77" t="s">
        <v>3266</v>
      </c>
      <c r="I772" s="77" t="s">
        <v>795</v>
      </c>
      <c r="J772" s="90">
        <v>500</v>
      </c>
      <c r="K772" s="91">
        <v>1</v>
      </c>
      <c r="L772" s="77" t="s">
        <v>160</v>
      </c>
      <c r="M772" s="78">
        <v>40.942720000000001</v>
      </c>
      <c r="N772" s="79">
        <v>1.8216600000000001</v>
      </c>
      <c r="O772" s="79">
        <v>6.6981599999999997</v>
      </c>
      <c r="P772" s="79">
        <v>636.18190000000004</v>
      </c>
      <c r="Q772" s="77"/>
      <c r="R772" s="77"/>
      <c r="S772" s="77"/>
      <c r="T772" s="77"/>
      <c r="U772" s="77"/>
      <c r="V772" s="87"/>
      <c r="W772" s="87"/>
      <c r="X772" s="87"/>
      <c r="Y772" s="77"/>
      <c r="Z772" s="88"/>
      <c r="AA772" s="35"/>
      <c r="AB772" s="35"/>
    </row>
    <row r="773" spans="1:28" x14ac:dyDescent="0.25">
      <c r="A773" s="68" t="str">
        <f t="shared" si="36"/>
        <v>467206</v>
      </c>
      <c r="B773" s="10">
        <f t="shared" si="37"/>
        <v>36.956189999999999</v>
      </c>
      <c r="C773" s="77" t="s">
        <v>5389</v>
      </c>
      <c r="D773" s="191" t="str">
        <f t="shared" si="38"/>
        <v>StrongLumio spojka LED pásek RGBCCT 12mm - 6-linka kabel RGBCCT</v>
      </c>
      <c r="E773" s="77" t="s">
        <v>3268</v>
      </c>
      <c r="F773" s="77" t="s">
        <v>3269</v>
      </c>
      <c r="G773" s="77" t="s">
        <v>3271</v>
      </c>
      <c r="H773" s="77" t="s">
        <v>3270</v>
      </c>
      <c r="I773" s="77" t="s">
        <v>795</v>
      </c>
      <c r="J773" s="90">
        <v>1</v>
      </c>
      <c r="K773" s="91">
        <v>1</v>
      </c>
      <c r="L773" s="77" t="s">
        <v>160</v>
      </c>
      <c r="M773" s="78">
        <v>36.956189999999999</v>
      </c>
      <c r="N773" s="79">
        <v>1.64428</v>
      </c>
      <c r="O773" s="79">
        <v>6.7588499999999998</v>
      </c>
      <c r="P773" s="79">
        <v>574.23788000000002</v>
      </c>
      <c r="Q773" s="77"/>
      <c r="R773" s="77"/>
      <c r="S773" s="77"/>
      <c r="T773" s="77"/>
      <c r="U773" s="77"/>
      <c r="V773" s="87"/>
      <c r="W773" s="87"/>
      <c r="X773" s="87"/>
      <c r="Y773" s="77"/>
      <c r="Z773" s="88"/>
      <c r="AA773" s="35"/>
      <c r="AB773" s="35"/>
    </row>
    <row r="774" spans="1:28" x14ac:dyDescent="0.25">
      <c r="A774" s="68" t="str">
        <f t="shared" si="36"/>
        <v>467219</v>
      </c>
      <c r="B774" s="10">
        <f t="shared" si="37"/>
        <v>15.838369999999999</v>
      </c>
      <c r="C774" s="77" t="s">
        <v>5390</v>
      </c>
      <c r="D774" s="191" t="str">
        <f t="shared" si="38"/>
        <v>StrongLumio spojka LED pásků 10mm - 2 linka kabel</v>
      </c>
      <c r="E774" s="77" t="s">
        <v>3272</v>
      </c>
      <c r="F774" s="77" t="s">
        <v>3273</v>
      </c>
      <c r="G774" s="77" t="s">
        <v>3274</v>
      </c>
      <c r="H774" s="77" t="s">
        <v>3252</v>
      </c>
      <c r="I774" s="77" t="s">
        <v>795</v>
      </c>
      <c r="J774" s="90">
        <v>1</v>
      </c>
      <c r="K774" s="91">
        <v>1</v>
      </c>
      <c r="L774" s="77" t="s">
        <v>160</v>
      </c>
      <c r="M774" s="78">
        <v>15.838369999999999</v>
      </c>
      <c r="N774" s="79">
        <v>0.70469999999999999</v>
      </c>
      <c r="O774" s="79">
        <v>2.67849</v>
      </c>
      <c r="P774" s="79">
        <v>246.10193000000001</v>
      </c>
      <c r="Q774" s="77"/>
      <c r="R774" s="77"/>
      <c r="S774" s="77"/>
      <c r="T774" s="77"/>
      <c r="U774" s="77"/>
      <c r="V774" s="87"/>
      <c r="W774" s="87"/>
      <c r="X774" s="87"/>
      <c r="Y774" s="77"/>
      <c r="Z774" s="88"/>
      <c r="AA774" s="35"/>
      <c r="AB774" s="35"/>
    </row>
    <row r="775" spans="1:28" x14ac:dyDescent="0.25">
      <c r="A775" s="68" t="str">
        <f t="shared" si="36"/>
        <v>467220</v>
      </c>
      <c r="B775" s="10">
        <f t="shared" si="37"/>
        <v>18.316479999999999</v>
      </c>
      <c r="C775" s="77" t="s">
        <v>5391</v>
      </c>
      <c r="D775" s="191" t="str">
        <f t="shared" si="38"/>
        <v>StrongLumio spojka LED pásků 10mm - 3 linka kabel</v>
      </c>
      <c r="E775" s="77" t="s">
        <v>3275</v>
      </c>
      <c r="F775" s="77" t="s">
        <v>3276</v>
      </c>
      <c r="G775" s="77" t="s">
        <v>3277</v>
      </c>
      <c r="H775" s="77" t="s">
        <v>3248</v>
      </c>
      <c r="I775" s="77" t="s">
        <v>795</v>
      </c>
      <c r="J775" s="90">
        <v>1</v>
      </c>
      <c r="K775" s="91">
        <v>1</v>
      </c>
      <c r="L775" s="77" t="s">
        <v>160</v>
      </c>
      <c r="M775" s="78">
        <v>18.316479999999999</v>
      </c>
      <c r="N775" s="79">
        <v>0.81496000000000002</v>
      </c>
      <c r="O775" s="79">
        <v>2.4710999999999999</v>
      </c>
      <c r="P775" s="79">
        <v>284.60770000000002</v>
      </c>
      <c r="Q775" s="77"/>
      <c r="R775" s="77"/>
      <c r="S775" s="77"/>
      <c r="T775" s="77"/>
      <c r="U775" s="77"/>
      <c r="V775" s="87"/>
      <c r="W775" s="87"/>
      <c r="X775" s="87"/>
      <c r="Y775" s="77"/>
      <c r="Z775" s="88"/>
      <c r="AA775" s="35"/>
      <c r="AB775" s="35"/>
    </row>
    <row r="776" spans="1:28" x14ac:dyDescent="0.25">
      <c r="A776" s="68" t="str">
        <f t="shared" si="36"/>
        <v>467221</v>
      </c>
      <c r="B776" s="10">
        <f t="shared" si="37"/>
        <v>20.794589999999999</v>
      </c>
      <c r="C776" s="77" t="s">
        <v>5392</v>
      </c>
      <c r="D776" s="191" t="str">
        <f t="shared" si="38"/>
        <v>StrongLumio spojka LED pásků 10mm - 4 linka kabel</v>
      </c>
      <c r="E776" s="77" t="s">
        <v>3278</v>
      </c>
      <c r="F776" s="77" t="s">
        <v>3279</v>
      </c>
      <c r="G776" s="77" t="s">
        <v>3280</v>
      </c>
      <c r="H776" s="77" t="s">
        <v>3260</v>
      </c>
      <c r="I776" s="77" t="s">
        <v>795</v>
      </c>
      <c r="J776" s="90">
        <v>1</v>
      </c>
      <c r="K776" s="91">
        <v>1</v>
      </c>
      <c r="L776" s="77" t="s">
        <v>160</v>
      </c>
      <c r="M776" s="78">
        <v>20.794589999999999</v>
      </c>
      <c r="N776" s="79">
        <v>0.92522000000000004</v>
      </c>
      <c r="O776" s="79">
        <v>2.8005900000000001</v>
      </c>
      <c r="P776" s="79">
        <v>323.11342999999999</v>
      </c>
      <c r="Q776" s="77"/>
      <c r="R776" s="77"/>
      <c r="S776" s="77"/>
      <c r="T776" s="77"/>
      <c r="U776" s="77"/>
      <c r="V776" s="87"/>
      <c r="W776" s="87"/>
      <c r="X776" s="87"/>
      <c r="Y776" s="77"/>
      <c r="Z776" s="88"/>
      <c r="AA776" s="35"/>
      <c r="AB776" s="35"/>
    </row>
    <row r="777" spans="1:28" x14ac:dyDescent="0.25">
      <c r="A777" s="68" t="str">
        <f t="shared" si="36"/>
        <v>467223</v>
      </c>
      <c r="B777" s="10">
        <f t="shared" si="37"/>
        <v>23.703679999999999</v>
      </c>
      <c r="C777" s="77" t="s">
        <v>5393</v>
      </c>
      <c r="D777" s="191" t="str">
        <f t="shared" si="38"/>
        <v>StrongLumio spojka LED pásků 10mm - CCT 3 piny</v>
      </c>
      <c r="E777" s="77" t="s">
        <v>3281</v>
      </c>
      <c r="F777" s="77" t="s">
        <v>3282</v>
      </c>
      <c r="G777" s="77" t="s">
        <v>3284</v>
      </c>
      <c r="H777" s="77" t="s">
        <v>3283</v>
      </c>
      <c r="I777" s="77" t="s">
        <v>795</v>
      </c>
      <c r="J777" s="90">
        <v>1</v>
      </c>
      <c r="K777" s="91">
        <v>1</v>
      </c>
      <c r="L777" s="77" t="s">
        <v>160</v>
      </c>
      <c r="M777" s="78">
        <v>23.703679999999999</v>
      </c>
      <c r="N777" s="79">
        <v>1.0546500000000001</v>
      </c>
      <c r="O777" s="79">
        <v>3.1924199999999998</v>
      </c>
      <c r="P777" s="79">
        <v>368.31581999999997</v>
      </c>
      <c r="Q777" s="77"/>
      <c r="R777" s="77"/>
      <c r="S777" s="77"/>
      <c r="T777" s="77"/>
      <c r="U777" s="77"/>
      <c r="V777" s="87"/>
      <c r="W777" s="87"/>
      <c r="X777" s="87"/>
      <c r="Y777" s="77"/>
      <c r="Z777" s="88"/>
      <c r="AA777" s="35"/>
      <c r="AB777" s="35"/>
    </row>
    <row r="778" spans="1:28" x14ac:dyDescent="0.25">
      <c r="A778" s="68" t="str">
        <f t="shared" si="36"/>
        <v>467210</v>
      </c>
      <c r="B778" s="10">
        <f t="shared" si="37"/>
        <v>32.3232</v>
      </c>
      <c r="C778" s="77" t="s">
        <v>5394</v>
      </c>
      <c r="D778" s="191" t="str">
        <f t="shared" si="38"/>
        <v>StrongLumio spojka LED pásků 10mm - CCT 3 piny</v>
      </c>
      <c r="E778" s="77" t="s">
        <v>3281</v>
      </c>
      <c r="F778" s="77" t="s">
        <v>3282</v>
      </c>
      <c r="G778" s="77" t="s">
        <v>3285</v>
      </c>
      <c r="H778" s="77" t="s">
        <v>3283</v>
      </c>
      <c r="I778" s="77" t="s">
        <v>795</v>
      </c>
      <c r="J778" s="90">
        <v>1</v>
      </c>
      <c r="K778" s="91">
        <v>1</v>
      </c>
      <c r="L778" s="77" t="s">
        <v>160</v>
      </c>
      <c r="M778" s="78">
        <v>32.3232</v>
      </c>
      <c r="N778" s="79">
        <v>1.4381900000000001</v>
      </c>
      <c r="O778" s="79">
        <v>5.7653100000000004</v>
      </c>
      <c r="P778" s="79">
        <v>502.24885999999998</v>
      </c>
      <c r="Q778" s="77"/>
      <c r="R778" s="77"/>
      <c r="S778" s="77"/>
      <c r="T778" s="77"/>
      <c r="U778" s="77"/>
      <c r="V778" s="87"/>
      <c r="W778" s="87"/>
      <c r="X778" s="87"/>
      <c r="Y778" s="77"/>
      <c r="Z778" s="88"/>
      <c r="AA778" s="35"/>
      <c r="AB778" s="35"/>
    </row>
    <row r="779" spans="1:28" x14ac:dyDescent="0.25">
      <c r="A779" s="68" t="str">
        <f t="shared" si="36"/>
        <v>467224</v>
      </c>
      <c r="B779" s="10">
        <f t="shared" si="37"/>
        <v>25.858560000000001</v>
      </c>
      <c r="C779" s="77" t="s">
        <v>5395</v>
      </c>
      <c r="D779" s="191" t="str">
        <f t="shared" si="38"/>
        <v>StrongLumio spojka LED pásků 10mm - RGB 4 piny</v>
      </c>
      <c r="E779" s="77" t="s">
        <v>3286</v>
      </c>
      <c r="F779" s="77" t="s">
        <v>3287</v>
      </c>
      <c r="G779" s="77" t="s">
        <v>3289</v>
      </c>
      <c r="H779" s="77" t="s">
        <v>3288</v>
      </c>
      <c r="I779" s="77" t="s">
        <v>795</v>
      </c>
      <c r="J779" s="90">
        <v>1</v>
      </c>
      <c r="K779" s="91">
        <v>1</v>
      </c>
      <c r="L779" s="77" t="s">
        <v>160</v>
      </c>
      <c r="M779" s="78">
        <v>25.858560000000001</v>
      </c>
      <c r="N779" s="79">
        <v>1.15052</v>
      </c>
      <c r="O779" s="79">
        <v>3.4843199999999999</v>
      </c>
      <c r="P779" s="79">
        <v>401.79906999999997</v>
      </c>
      <c r="Q779" s="77"/>
      <c r="R779" s="77"/>
      <c r="S779" s="77"/>
      <c r="T779" s="77"/>
      <c r="U779" s="77"/>
      <c r="V779" s="87"/>
      <c r="W779" s="87"/>
      <c r="X779" s="87"/>
      <c r="Y779" s="77"/>
      <c r="Z779" s="88"/>
      <c r="AA779" s="35"/>
      <c r="AB779" s="35"/>
    </row>
    <row r="780" spans="1:28" x14ac:dyDescent="0.25">
      <c r="A780" s="68" t="str">
        <f t="shared" si="36"/>
        <v>467211</v>
      </c>
      <c r="B780" s="10">
        <f t="shared" si="37"/>
        <v>33.400640000000003</v>
      </c>
      <c r="C780" s="77" t="s">
        <v>5396</v>
      </c>
      <c r="D780" s="191" t="str">
        <f t="shared" si="38"/>
        <v>StrongLumio spojka LED pásků 10mm - RGB 4 piny</v>
      </c>
      <c r="E780" s="77" t="s">
        <v>3286</v>
      </c>
      <c r="F780" s="77" t="s">
        <v>3287</v>
      </c>
      <c r="G780" s="77" t="s">
        <v>3290</v>
      </c>
      <c r="H780" s="77" t="s">
        <v>3288</v>
      </c>
      <c r="I780" s="77" t="s">
        <v>795</v>
      </c>
      <c r="J780" s="90">
        <v>1</v>
      </c>
      <c r="K780" s="91">
        <v>1</v>
      </c>
      <c r="L780" s="77" t="s">
        <v>160</v>
      </c>
      <c r="M780" s="78">
        <v>33.400640000000003</v>
      </c>
      <c r="N780" s="79">
        <v>1.48611</v>
      </c>
      <c r="O780" s="79">
        <v>5.8478700000000003</v>
      </c>
      <c r="P780" s="79">
        <v>518.99048000000005</v>
      </c>
      <c r="Q780" s="77"/>
      <c r="R780" s="77"/>
      <c r="S780" s="77"/>
      <c r="T780" s="77"/>
      <c r="U780" s="77"/>
      <c r="V780" s="87"/>
      <c r="W780" s="87"/>
      <c r="X780" s="87"/>
      <c r="Y780" s="77"/>
      <c r="Z780" s="88"/>
      <c r="AA780" s="35"/>
      <c r="AB780" s="35"/>
    </row>
    <row r="781" spans="1:28" x14ac:dyDescent="0.25">
      <c r="A781" s="68" t="str">
        <f t="shared" si="36"/>
        <v>467222</v>
      </c>
      <c r="B781" s="10">
        <f t="shared" si="37"/>
        <v>21.5488</v>
      </c>
      <c r="C781" s="77" t="s">
        <v>5397</v>
      </c>
      <c r="D781" s="191" t="str">
        <f t="shared" si="38"/>
        <v>StrongLumio spojka LED pásků 10mm - Single colour 2 piny</v>
      </c>
      <c r="E781" s="77" t="s">
        <v>3291</v>
      </c>
      <c r="F781" s="77" t="s">
        <v>3292</v>
      </c>
      <c r="G781" s="77" t="s">
        <v>3294</v>
      </c>
      <c r="H781" s="77" t="s">
        <v>3293</v>
      </c>
      <c r="I781" s="77" t="s">
        <v>795</v>
      </c>
      <c r="J781" s="90">
        <v>1</v>
      </c>
      <c r="K781" s="91">
        <v>1</v>
      </c>
      <c r="L781" s="77" t="s">
        <v>160</v>
      </c>
      <c r="M781" s="78">
        <v>21.5488</v>
      </c>
      <c r="N781" s="79">
        <v>0.95882000000000001</v>
      </c>
      <c r="O781" s="79">
        <v>2.9021400000000002</v>
      </c>
      <c r="P781" s="79">
        <v>334.83256999999998</v>
      </c>
      <c r="Q781" s="77"/>
      <c r="R781" s="77"/>
      <c r="S781" s="77"/>
      <c r="T781" s="77"/>
      <c r="U781" s="77"/>
      <c r="V781" s="87"/>
      <c r="W781" s="87"/>
      <c r="X781" s="87"/>
      <c r="Y781" s="77"/>
      <c r="Z781" s="88"/>
      <c r="AA781" s="35"/>
      <c r="AB781" s="35"/>
    </row>
    <row r="782" spans="1:28" x14ac:dyDescent="0.25">
      <c r="A782" s="68" t="str">
        <f t="shared" si="36"/>
        <v>467217</v>
      </c>
      <c r="B782" s="10">
        <f t="shared" si="37"/>
        <v>32.3232</v>
      </c>
      <c r="C782" s="77" t="s">
        <v>5398</v>
      </c>
      <c r="D782" s="191" t="str">
        <f t="shared" si="38"/>
        <v>StrongLumio spojka LED pásků 10mm - Single colour 2 piny</v>
      </c>
      <c r="E782" s="77" t="s">
        <v>3291</v>
      </c>
      <c r="F782" s="77" t="s">
        <v>3292</v>
      </c>
      <c r="G782" s="77" t="s">
        <v>3296</v>
      </c>
      <c r="H782" s="77" t="s">
        <v>3295</v>
      </c>
      <c r="I782" s="77" t="s">
        <v>795</v>
      </c>
      <c r="J782" s="90">
        <v>1</v>
      </c>
      <c r="K782" s="91">
        <v>1</v>
      </c>
      <c r="L782" s="77" t="s">
        <v>160</v>
      </c>
      <c r="M782" s="78">
        <v>32.3232</v>
      </c>
      <c r="N782" s="79">
        <v>1.4381900000000001</v>
      </c>
      <c r="O782" s="79">
        <v>5.7175200000000004</v>
      </c>
      <c r="P782" s="79">
        <v>502.24885999999998</v>
      </c>
      <c r="Q782" s="77"/>
      <c r="R782" s="77"/>
      <c r="S782" s="77"/>
      <c r="T782" s="77"/>
      <c r="U782" s="77"/>
      <c r="V782" s="87"/>
      <c r="W782" s="87"/>
      <c r="X782" s="87"/>
      <c r="Y782" s="77"/>
      <c r="Z782" s="88"/>
      <c r="AA782" s="35"/>
      <c r="AB782" s="35"/>
    </row>
    <row r="783" spans="1:28" x14ac:dyDescent="0.25">
      <c r="A783" s="68" t="str">
        <f t="shared" si="36"/>
        <v>467212</v>
      </c>
      <c r="B783" s="10">
        <f t="shared" si="37"/>
        <v>63.568959999999997</v>
      </c>
      <c r="C783" s="77" t="s">
        <v>5399</v>
      </c>
      <c r="D783" s="191" t="str">
        <f t="shared" si="38"/>
        <v>StrongLumio spojka LED pásků 10mm - tvar "L" (2 piny) Single colour</v>
      </c>
      <c r="E783" s="77" t="s">
        <v>3297</v>
      </c>
      <c r="F783" s="77" t="s">
        <v>3298</v>
      </c>
      <c r="G783" s="77" t="s">
        <v>3300</v>
      </c>
      <c r="H783" s="77" t="s">
        <v>3299</v>
      </c>
      <c r="I783" s="77" t="s">
        <v>795</v>
      </c>
      <c r="J783" s="90">
        <v>1</v>
      </c>
      <c r="K783" s="91">
        <v>1</v>
      </c>
      <c r="L783" s="77" t="s">
        <v>160</v>
      </c>
      <c r="M783" s="78">
        <v>63.568959999999997</v>
      </c>
      <c r="N783" s="79">
        <v>2.8283900000000002</v>
      </c>
      <c r="O783" s="79">
        <v>11.020020000000001</v>
      </c>
      <c r="P783" s="79">
        <v>987.75608999999997</v>
      </c>
      <c r="Q783" s="77"/>
      <c r="R783" s="77"/>
      <c r="S783" s="77"/>
      <c r="T783" s="77"/>
      <c r="U783" s="77"/>
      <c r="V783" s="87"/>
      <c r="W783" s="87"/>
      <c r="X783" s="87"/>
      <c r="Y783" s="77"/>
      <c r="Z783" s="88"/>
      <c r="AA783" s="35"/>
      <c r="AB783" s="35"/>
    </row>
    <row r="784" spans="1:28" x14ac:dyDescent="0.25">
      <c r="A784" s="68" t="str">
        <f t="shared" si="36"/>
        <v>467213</v>
      </c>
      <c r="B784" s="10">
        <f t="shared" si="37"/>
        <v>63.568959999999997</v>
      </c>
      <c r="C784" s="77" t="s">
        <v>5400</v>
      </c>
      <c r="D784" s="191" t="str">
        <f t="shared" si="38"/>
        <v>StrongLumio spojka LED pásků 10mm - tvar "L" (4 piny) RGB</v>
      </c>
      <c r="E784" s="77" t="s">
        <v>3301</v>
      </c>
      <c r="F784" s="77" t="s">
        <v>3302</v>
      </c>
      <c r="G784" s="77" t="s">
        <v>3304</v>
      </c>
      <c r="H784" s="77" t="s">
        <v>3303</v>
      </c>
      <c r="I784" s="77" t="s">
        <v>795</v>
      </c>
      <c r="J784" s="90">
        <v>1</v>
      </c>
      <c r="K784" s="91">
        <v>1</v>
      </c>
      <c r="L784" s="77" t="s">
        <v>160</v>
      </c>
      <c r="M784" s="78">
        <v>63.568959999999997</v>
      </c>
      <c r="N784" s="79">
        <v>2.8283900000000002</v>
      </c>
      <c r="O784" s="79">
        <v>8.5647900000000003</v>
      </c>
      <c r="P784" s="79">
        <v>987.75608999999997</v>
      </c>
      <c r="Q784" s="77"/>
      <c r="R784" s="77"/>
      <c r="S784" s="77"/>
      <c r="T784" s="77"/>
      <c r="U784" s="77"/>
      <c r="V784" s="87"/>
      <c r="W784" s="87"/>
      <c r="X784" s="87"/>
      <c r="Y784" s="77"/>
      <c r="Z784" s="88"/>
      <c r="AA784" s="35"/>
      <c r="AB784" s="35"/>
    </row>
    <row r="785" spans="1:28" x14ac:dyDescent="0.25">
      <c r="A785" s="68" t="str">
        <f t="shared" si="36"/>
        <v>467214</v>
      </c>
      <c r="B785" s="10">
        <f t="shared" si="37"/>
        <v>38.787840000000003</v>
      </c>
      <c r="C785" s="77" t="s">
        <v>5401</v>
      </c>
      <c r="D785" s="191" t="str">
        <f t="shared" si="38"/>
        <v>StrongLumio spojka LED pásku 10mm (COB)</v>
      </c>
      <c r="E785" s="77" t="s">
        <v>3305</v>
      </c>
      <c r="F785" s="77" t="s">
        <v>3306</v>
      </c>
      <c r="G785" s="77" t="s">
        <v>3308</v>
      </c>
      <c r="H785" s="77" t="s">
        <v>3307</v>
      </c>
      <c r="I785" s="77" t="s">
        <v>795</v>
      </c>
      <c r="J785" s="90">
        <v>1</v>
      </c>
      <c r="K785" s="91">
        <v>1</v>
      </c>
      <c r="L785" s="77" t="s">
        <v>160</v>
      </c>
      <c r="M785" s="78">
        <v>38.787840000000003</v>
      </c>
      <c r="N785" s="79">
        <v>1.7257899999999999</v>
      </c>
      <c r="O785" s="79">
        <v>5.2284899999999999</v>
      </c>
      <c r="P785" s="79">
        <v>602.69863999999995</v>
      </c>
      <c r="Q785" s="77"/>
      <c r="R785" s="77"/>
      <c r="S785" s="77"/>
      <c r="T785" s="77"/>
      <c r="U785" s="77"/>
      <c r="V785" s="87"/>
      <c r="W785" s="87"/>
      <c r="X785" s="87"/>
      <c r="Y785" s="77"/>
      <c r="Z785" s="88"/>
      <c r="AA785" s="35"/>
      <c r="AB785" s="35"/>
    </row>
    <row r="786" spans="1:28" x14ac:dyDescent="0.25">
      <c r="A786" s="68" t="str">
        <f t="shared" si="36"/>
        <v>342538</v>
      </c>
      <c r="B786" s="10">
        <f t="shared" si="37"/>
        <v>17.27271</v>
      </c>
      <c r="C786" s="77" t="s">
        <v>5402</v>
      </c>
      <c r="D786" s="191" t="str">
        <f t="shared" si="38"/>
        <v>StrongLumio spojka LED pásků 10mm, 2 piny</v>
      </c>
      <c r="E786" s="77" t="s">
        <v>3309</v>
      </c>
      <c r="F786" s="77" t="s">
        <v>3310</v>
      </c>
      <c r="G786" s="77" t="s">
        <v>3312</v>
      </c>
      <c r="H786" s="77" t="s">
        <v>3311</v>
      </c>
      <c r="I786" s="77" t="s">
        <v>795</v>
      </c>
      <c r="J786" s="90">
        <v>1</v>
      </c>
      <c r="K786" s="91">
        <v>1</v>
      </c>
      <c r="L786" s="77" t="s">
        <v>160</v>
      </c>
      <c r="M786" s="78">
        <v>17.27271</v>
      </c>
      <c r="N786" s="79">
        <v>0.77141000000000004</v>
      </c>
      <c r="O786" s="79">
        <v>2.47858</v>
      </c>
      <c r="P786" s="79">
        <v>267.51783999999998</v>
      </c>
      <c r="Q786" s="77"/>
      <c r="R786" s="77"/>
      <c r="S786" s="77"/>
      <c r="T786" s="77"/>
      <c r="U786" s="77"/>
      <c r="V786" s="87"/>
      <c r="W786" s="87"/>
      <c r="X786" s="87"/>
      <c r="Y786" s="77"/>
      <c r="Z786" s="88"/>
      <c r="AA786" s="35"/>
      <c r="AB786" s="35"/>
    </row>
    <row r="787" spans="1:28" x14ac:dyDescent="0.25">
      <c r="A787" s="68" t="str">
        <f t="shared" si="36"/>
        <v>467216</v>
      </c>
      <c r="B787" s="10">
        <f t="shared" si="37"/>
        <v>36.632959999999997</v>
      </c>
      <c r="C787" s="77" t="s">
        <v>5403</v>
      </c>
      <c r="D787" s="191" t="str">
        <f t="shared" si="38"/>
        <v>StrongLumio spojka LED pásků 12mm - RGBCCT 6 pinů</v>
      </c>
      <c r="E787" s="77" t="s">
        <v>3313</v>
      </c>
      <c r="F787" s="77" t="s">
        <v>3314</v>
      </c>
      <c r="G787" s="77" t="s">
        <v>3316</v>
      </c>
      <c r="H787" s="77" t="s">
        <v>3315</v>
      </c>
      <c r="I787" s="77" t="s">
        <v>795</v>
      </c>
      <c r="J787" s="90">
        <v>1</v>
      </c>
      <c r="K787" s="91">
        <v>1</v>
      </c>
      <c r="L787" s="77" t="s">
        <v>160</v>
      </c>
      <c r="M787" s="78">
        <v>36.632959999999997</v>
      </c>
      <c r="N787" s="79">
        <v>1.6298900000000001</v>
      </c>
      <c r="O787" s="79">
        <v>6.1712400000000001</v>
      </c>
      <c r="P787" s="79">
        <v>569.21536000000003</v>
      </c>
      <c r="Q787" s="77"/>
      <c r="R787" s="77"/>
      <c r="S787" s="77"/>
      <c r="T787" s="77"/>
      <c r="U787" s="77"/>
      <c r="V787" s="87"/>
      <c r="W787" s="87"/>
      <c r="X787" s="87"/>
      <c r="Y787" s="77"/>
      <c r="Z787" s="88"/>
      <c r="AA787" s="35"/>
      <c r="AB787" s="35"/>
    </row>
    <row r="788" spans="1:28" x14ac:dyDescent="0.25">
      <c r="A788" s="68" t="str">
        <f t="shared" si="36"/>
        <v>467215</v>
      </c>
      <c r="B788" s="10">
        <f t="shared" si="37"/>
        <v>35.555520000000001</v>
      </c>
      <c r="C788" s="77" t="s">
        <v>5404</v>
      </c>
      <c r="D788" s="191" t="str">
        <f t="shared" si="38"/>
        <v>StrongLumio spojka LED pásků 12mm - RGBW 5 pinů</v>
      </c>
      <c r="E788" s="77" t="s">
        <v>3317</v>
      </c>
      <c r="F788" s="77" t="s">
        <v>3318</v>
      </c>
      <c r="G788" s="77" t="s">
        <v>3320</v>
      </c>
      <c r="H788" s="77" t="s">
        <v>3319</v>
      </c>
      <c r="I788" s="77" t="s">
        <v>795</v>
      </c>
      <c r="J788" s="90">
        <v>1</v>
      </c>
      <c r="K788" s="91">
        <v>1</v>
      </c>
      <c r="L788" s="77" t="s">
        <v>160</v>
      </c>
      <c r="M788" s="78">
        <v>35.555520000000001</v>
      </c>
      <c r="N788" s="79">
        <v>1.5819700000000001</v>
      </c>
      <c r="O788" s="79">
        <v>5.7389099999999997</v>
      </c>
      <c r="P788" s="79">
        <v>552.47373000000005</v>
      </c>
      <c r="Q788" s="77"/>
      <c r="R788" s="77"/>
      <c r="S788" s="77"/>
      <c r="T788" s="77"/>
      <c r="U788" s="77"/>
      <c r="V788" s="87"/>
      <c r="W788" s="87"/>
      <c r="X788" s="87"/>
      <c r="Y788" s="77"/>
      <c r="Z788" s="88"/>
      <c r="AA788" s="35"/>
      <c r="AB788" s="35"/>
    </row>
    <row r="789" spans="1:28" x14ac:dyDescent="0.25">
      <c r="A789" s="68" t="str">
        <f t="shared" si="36"/>
        <v>467225</v>
      </c>
      <c r="B789" s="10">
        <f t="shared" si="37"/>
        <v>15.62288</v>
      </c>
      <c r="C789" s="77" t="s">
        <v>5405</v>
      </c>
      <c r="D789" s="191" t="str">
        <f t="shared" si="38"/>
        <v>StrongLumio spojka LED pásků 8mm - 2 linka kabel</v>
      </c>
      <c r="E789" s="77" t="s">
        <v>3321</v>
      </c>
      <c r="F789" s="77" t="s">
        <v>3322</v>
      </c>
      <c r="G789" s="77" t="s">
        <v>3324</v>
      </c>
      <c r="H789" s="77" t="s">
        <v>3323</v>
      </c>
      <c r="I789" s="77" t="s">
        <v>795</v>
      </c>
      <c r="J789" s="90">
        <v>1</v>
      </c>
      <c r="K789" s="91">
        <v>1</v>
      </c>
      <c r="L789" s="77" t="s">
        <v>160</v>
      </c>
      <c r="M789" s="78">
        <v>15.62288</v>
      </c>
      <c r="N789" s="79">
        <v>0.69511999999999996</v>
      </c>
      <c r="O789" s="79">
        <v>2.4873599999999998</v>
      </c>
      <c r="P789" s="79">
        <v>242.75362000000001</v>
      </c>
      <c r="Q789" s="77"/>
      <c r="R789" s="77"/>
      <c r="S789" s="77"/>
      <c r="T789" s="77"/>
      <c r="U789" s="77"/>
      <c r="V789" s="87"/>
      <c r="W789" s="87"/>
      <c r="X789" s="87"/>
      <c r="Y789" s="77"/>
      <c r="Z789" s="88"/>
      <c r="AA789" s="35"/>
      <c r="AB789" s="35"/>
    </row>
    <row r="790" spans="1:28" x14ac:dyDescent="0.25">
      <c r="A790" s="68" t="str">
        <f t="shared" si="36"/>
        <v>467226</v>
      </c>
      <c r="B790" s="10">
        <f t="shared" si="37"/>
        <v>22.626239999999999</v>
      </c>
      <c r="C790" s="77" t="s">
        <v>5406</v>
      </c>
      <c r="D790" s="191" t="str">
        <f t="shared" si="38"/>
        <v>StrongLumio spojka LED pásků 8mm - Single colour 2 piny</v>
      </c>
      <c r="E790" s="77" t="s">
        <v>3325</v>
      </c>
      <c r="F790" s="77" t="s">
        <v>3326</v>
      </c>
      <c r="G790" s="77" t="s">
        <v>3328</v>
      </c>
      <c r="H790" s="77" t="s">
        <v>3327</v>
      </c>
      <c r="I790" s="77" t="s">
        <v>795</v>
      </c>
      <c r="J790" s="90">
        <v>1</v>
      </c>
      <c r="K790" s="91">
        <v>1</v>
      </c>
      <c r="L790" s="77" t="s">
        <v>160</v>
      </c>
      <c r="M790" s="78">
        <v>22.626239999999999</v>
      </c>
      <c r="N790" s="79">
        <v>1.0067299999999999</v>
      </c>
      <c r="O790" s="79">
        <v>4.1380800000000004</v>
      </c>
      <c r="P790" s="79">
        <v>351.57420000000002</v>
      </c>
      <c r="Q790" s="77"/>
      <c r="R790" s="77"/>
      <c r="S790" s="77"/>
      <c r="T790" s="77"/>
      <c r="U790" s="77"/>
      <c r="V790" s="87"/>
      <c r="W790" s="87"/>
      <c r="X790" s="87"/>
      <c r="Y790" s="77"/>
      <c r="Z790" s="88"/>
      <c r="AA790" s="35"/>
      <c r="AB790" s="35"/>
    </row>
    <row r="791" spans="1:28" x14ac:dyDescent="0.25">
      <c r="A791" s="68" t="str">
        <f t="shared" si="36"/>
        <v>342537</v>
      </c>
      <c r="B791" s="10">
        <f t="shared" si="37"/>
        <v>17.27271</v>
      </c>
      <c r="C791" s="77" t="s">
        <v>5407</v>
      </c>
      <c r="D791" s="191" t="str">
        <f t="shared" si="38"/>
        <v>StrongLumio spojka LED pásků 8mm, 2 piny</v>
      </c>
      <c r="E791" s="77" t="s">
        <v>3329</v>
      </c>
      <c r="F791" s="77" t="s">
        <v>3330</v>
      </c>
      <c r="G791" s="77" t="s">
        <v>3332</v>
      </c>
      <c r="H791" s="77" t="s">
        <v>3331</v>
      </c>
      <c r="I791" s="77" t="s">
        <v>795</v>
      </c>
      <c r="J791" s="90">
        <v>1</v>
      </c>
      <c r="K791" s="91">
        <v>1</v>
      </c>
      <c r="L791" s="77" t="s">
        <v>227</v>
      </c>
      <c r="M791" s="78">
        <v>17.27271</v>
      </c>
      <c r="N791" s="79">
        <v>0.77141000000000004</v>
      </c>
      <c r="O791" s="79">
        <v>2.3933</v>
      </c>
      <c r="P791" s="79">
        <v>267.51783999999998</v>
      </c>
      <c r="Q791" s="77"/>
      <c r="R791" s="77"/>
      <c r="S791" s="77"/>
      <c r="T791" s="77"/>
      <c r="U791" s="77"/>
      <c r="V791" s="87"/>
      <c r="W791" s="87"/>
      <c r="X791" s="87"/>
      <c r="Y791" s="77"/>
      <c r="Z791" s="88"/>
      <c r="AA791" s="35"/>
      <c r="AB791" s="35"/>
    </row>
    <row r="792" spans="1:28" x14ac:dyDescent="0.25">
      <c r="A792" s="68" t="str">
        <f t="shared" si="36"/>
        <v>467209</v>
      </c>
      <c r="B792" s="10">
        <f t="shared" si="37"/>
        <v>31.245760000000001</v>
      </c>
      <c r="C792" s="77" t="s">
        <v>5408</v>
      </c>
      <c r="D792" s="191" t="str">
        <f t="shared" si="38"/>
        <v>StrongLumio spojka LED pásků jednobarevných 8mm</v>
      </c>
      <c r="E792" s="77" t="s">
        <v>3333</v>
      </c>
      <c r="F792" s="77" t="s">
        <v>3334</v>
      </c>
      <c r="G792" s="77" t="s">
        <v>3336</v>
      </c>
      <c r="H792" s="77" t="s">
        <v>3335</v>
      </c>
      <c r="I792" s="77" t="s">
        <v>795</v>
      </c>
      <c r="J792" s="90">
        <v>500</v>
      </c>
      <c r="K792" s="91">
        <v>1</v>
      </c>
      <c r="L792" s="77" t="s">
        <v>160</v>
      </c>
      <c r="M792" s="78">
        <v>31.245760000000001</v>
      </c>
      <c r="N792" s="79">
        <v>1.3902000000000001</v>
      </c>
      <c r="O792" s="79">
        <v>5.7145200000000003</v>
      </c>
      <c r="P792" s="79">
        <v>485.50722999999999</v>
      </c>
      <c r="Q792" s="77"/>
      <c r="R792" s="77"/>
      <c r="S792" s="77"/>
      <c r="T792" s="77"/>
      <c r="U792" s="77"/>
      <c r="V792" s="87"/>
      <c r="W792" s="87"/>
      <c r="X792" s="87"/>
      <c r="Y792" s="77"/>
      <c r="Z792" s="88"/>
      <c r="AA792" s="35"/>
      <c r="AB792" s="35"/>
    </row>
    <row r="793" spans="1:28" x14ac:dyDescent="0.25">
      <c r="A793" s="68" t="str">
        <f t="shared" si="36"/>
        <v>507816</v>
      </c>
      <c r="B793" s="10">
        <f t="shared" si="37"/>
        <v>25.454519999999999</v>
      </c>
      <c r="C793" s="77" t="s">
        <v>5409</v>
      </c>
      <c r="D793" s="191" t="str">
        <f t="shared" si="38"/>
        <v>StrongLumio spojka LED pásků rohová 2 piny 10mm</v>
      </c>
      <c r="E793" s="77" t="s">
        <v>3337</v>
      </c>
      <c r="F793" s="77" t="s">
        <v>3338</v>
      </c>
      <c r="G793" s="77" t="s">
        <v>3340</v>
      </c>
      <c r="H793" s="77" t="s">
        <v>3339</v>
      </c>
      <c r="I793" s="77" t="s">
        <v>795</v>
      </c>
      <c r="J793" s="90">
        <v>100</v>
      </c>
      <c r="K793" s="91">
        <v>1</v>
      </c>
      <c r="L793" s="77" t="s">
        <v>227</v>
      </c>
      <c r="M793" s="78">
        <v>25.454519999999999</v>
      </c>
      <c r="N793" s="79">
        <v>1.13683</v>
      </c>
      <c r="O793" s="79">
        <v>4.7562199999999999</v>
      </c>
      <c r="P793" s="79">
        <v>394.23682000000002</v>
      </c>
      <c r="Q793" s="77"/>
      <c r="R793" s="77"/>
      <c r="S793" s="77"/>
      <c r="T793" s="77"/>
      <c r="U793" s="77"/>
      <c r="V793" s="87"/>
      <c r="W793" s="87"/>
      <c r="X793" s="87"/>
      <c r="Y793" s="77"/>
      <c r="Z793" s="88"/>
      <c r="AA793" s="35"/>
      <c r="AB793" s="35"/>
    </row>
    <row r="794" spans="1:28" x14ac:dyDescent="0.25">
      <c r="A794" s="68" t="str">
        <f t="shared" si="36"/>
        <v>507815</v>
      </c>
      <c r="B794" s="10">
        <f t="shared" si="37"/>
        <v>20.590499999999999</v>
      </c>
      <c r="C794" s="77" t="s">
        <v>5410</v>
      </c>
      <c r="D794" s="191" t="str">
        <f t="shared" si="38"/>
        <v>StrongLumio spojka LED pásků rohová 2 piny 8mm</v>
      </c>
      <c r="E794" s="77" t="s">
        <v>3341</v>
      </c>
      <c r="F794" s="77" t="s">
        <v>3342</v>
      </c>
      <c r="G794" s="77" t="s">
        <v>3344</v>
      </c>
      <c r="H794" s="77" t="s">
        <v>3343</v>
      </c>
      <c r="I794" s="77" t="s">
        <v>795</v>
      </c>
      <c r="J794" s="90">
        <v>100</v>
      </c>
      <c r="K794" s="91">
        <v>1</v>
      </c>
      <c r="L794" s="77" t="s">
        <v>227</v>
      </c>
      <c r="M794" s="78">
        <v>20.590499999999999</v>
      </c>
      <c r="N794" s="79">
        <v>0.94032000000000004</v>
      </c>
      <c r="O794" s="79">
        <v>4.14764</v>
      </c>
      <c r="P794" s="79">
        <v>394.23682000000002</v>
      </c>
      <c r="Q794" s="77"/>
      <c r="R794" s="77"/>
      <c r="S794" s="77"/>
      <c r="T794" s="77"/>
      <c r="U794" s="77"/>
      <c r="V794" s="87"/>
      <c r="W794" s="87"/>
      <c r="X794" s="87"/>
      <c r="Y794" s="77"/>
      <c r="Z794" s="88"/>
      <c r="AA794" s="35"/>
      <c r="AB794" s="35"/>
    </row>
    <row r="795" spans="1:28" x14ac:dyDescent="0.25">
      <c r="A795" s="68" t="str">
        <f t="shared" si="36"/>
        <v>388187</v>
      </c>
      <c r="B795" s="10">
        <f t="shared" si="37"/>
        <v>25.750820000000001</v>
      </c>
      <c r="C795" s="77" t="s">
        <v>5411</v>
      </c>
      <c r="D795" s="191" t="str">
        <f t="shared" si="38"/>
        <v>StrongLumio spojka pro dvojlinku rovná</v>
      </c>
      <c r="E795" s="77" t="s">
        <v>3345</v>
      </c>
      <c r="F795" s="77" t="s">
        <v>3346</v>
      </c>
      <c r="G795" s="77" t="s">
        <v>3348</v>
      </c>
      <c r="H795" s="77" t="s">
        <v>3347</v>
      </c>
      <c r="I795" s="77" t="s">
        <v>795</v>
      </c>
      <c r="J795" s="90">
        <v>100</v>
      </c>
      <c r="K795" s="91">
        <v>1</v>
      </c>
      <c r="L795" s="77" t="s">
        <v>227</v>
      </c>
      <c r="M795" s="78">
        <v>25.750820000000001</v>
      </c>
      <c r="N795" s="79">
        <v>1.14574</v>
      </c>
      <c r="O795" s="79">
        <v>4.7096099999999996</v>
      </c>
      <c r="P795" s="79">
        <v>400.12493999999998</v>
      </c>
      <c r="Q795" s="77"/>
      <c r="R795" s="77"/>
      <c r="S795" s="77"/>
      <c r="T795" s="77"/>
      <c r="U795" s="77"/>
      <c r="V795" s="87"/>
      <c r="W795" s="87"/>
      <c r="X795" s="87"/>
      <c r="Y795" s="77"/>
      <c r="Z795" s="88"/>
      <c r="AA795" s="35"/>
      <c r="AB795" s="35"/>
    </row>
    <row r="796" spans="1:28" x14ac:dyDescent="0.25">
      <c r="A796" s="68" t="str">
        <f t="shared" si="36"/>
        <v>388189</v>
      </c>
      <c r="B796" s="10">
        <f t="shared" si="37"/>
        <v>28.444420000000001</v>
      </c>
      <c r="C796" s="77" t="s">
        <v>5412</v>
      </c>
      <c r="D796" s="191" t="str">
        <f t="shared" si="38"/>
        <v>StrongLumio spojka pro dvojlinku rozbočovací typ T</v>
      </c>
      <c r="E796" s="77" t="s">
        <v>3349</v>
      </c>
      <c r="F796" s="77" t="s">
        <v>3350</v>
      </c>
      <c r="G796" s="77" t="s">
        <v>3352</v>
      </c>
      <c r="H796" s="77" t="s">
        <v>3351</v>
      </c>
      <c r="I796" s="77" t="s">
        <v>795</v>
      </c>
      <c r="J796" s="90">
        <v>100</v>
      </c>
      <c r="K796" s="91">
        <v>1</v>
      </c>
      <c r="L796" s="77" t="s">
        <v>227</v>
      </c>
      <c r="M796" s="78">
        <v>28.444420000000001</v>
      </c>
      <c r="N796" s="79">
        <v>1.26559</v>
      </c>
      <c r="O796" s="79">
        <v>5.2240799999999998</v>
      </c>
      <c r="P796" s="79">
        <v>441.97901999999999</v>
      </c>
      <c r="Q796" s="77"/>
      <c r="R796" s="77"/>
      <c r="S796" s="77"/>
      <c r="T796" s="77"/>
      <c r="U796" s="77"/>
      <c r="V796" s="87"/>
      <c r="W796" s="87"/>
      <c r="X796" s="87"/>
      <c r="Y796" s="77"/>
      <c r="Z796" s="88"/>
      <c r="AA796" s="35"/>
      <c r="AB796" s="35"/>
    </row>
    <row r="797" spans="1:28" x14ac:dyDescent="0.25">
      <c r="A797" s="68" t="str">
        <f t="shared" si="36"/>
        <v>543625</v>
      </c>
      <c r="B797" s="10">
        <f t="shared" si="37"/>
        <v>15.174810000000001</v>
      </c>
      <c r="C797" s="77" t="s">
        <v>5413</v>
      </c>
      <c r="D797" s="191" t="str">
        <f t="shared" si="38"/>
        <v>StrongLumio spojka RGB LED pásek 10mm - kabel čtyřlinka</v>
      </c>
      <c r="E797" s="77" t="s">
        <v>3353</v>
      </c>
      <c r="F797" s="77" t="s">
        <v>3354</v>
      </c>
      <c r="G797" s="77" t="s">
        <v>3355</v>
      </c>
      <c r="H797" s="77" t="s">
        <v>6519</v>
      </c>
      <c r="I797" s="77" t="s">
        <v>795</v>
      </c>
      <c r="J797" s="90">
        <v>100</v>
      </c>
      <c r="K797" s="91">
        <v>1</v>
      </c>
      <c r="L797" s="77" t="s">
        <v>227</v>
      </c>
      <c r="M797" s="78">
        <v>15.174810000000001</v>
      </c>
      <c r="N797" s="79">
        <v>0.69296999999999997</v>
      </c>
      <c r="O797" s="79">
        <v>3.3994800000000001</v>
      </c>
      <c r="P797" s="79">
        <v>233.5095</v>
      </c>
      <c r="Q797" s="77"/>
      <c r="R797" s="77"/>
      <c r="S797" s="77"/>
      <c r="T797" s="77"/>
      <c r="U797" s="77"/>
      <c r="V797" s="87"/>
      <c r="W797" s="87"/>
      <c r="X797" s="87"/>
      <c r="Y797" s="77"/>
      <c r="Z797" s="88"/>
      <c r="AA797" s="35"/>
      <c r="AB797" s="35"/>
    </row>
    <row r="798" spans="1:28" x14ac:dyDescent="0.25">
      <c r="A798" s="68" t="str">
        <f t="shared" ref="A798:A860" si="39">C798</f>
        <v>543626</v>
      </c>
      <c r="B798" s="10">
        <f t="shared" si="37"/>
        <v>15.174810000000001</v>
      </c>
      <c r="C798" s="77" t="s">
        <v>5414</v>
      </c>
      <c r="D798" s="191" t="str">
        <f t="shared" si="38"/>
        <v>StrongLumio spojka RGB LED pásek 10mm - LED pásek</v>
      </c>
      <c r="E798" s="77" t="s">
        <v>3356</v>
      </c>
      <c r="F798" s="77" t="s">
        <v>3357</v>
      </c>
      <c r="G798" s="77" t="s">
        <v>3358</v>
      </c>
      <c r="H798" s="77" t="s">
        <v>6520</v>
      </c>
      <c r="I798" s="77" t="s">
        <v>795</v>
      </c>
      <c r="J798" s="90">
        <v>100</v>
      </c>
      <c r="K798" s="91">
        <v>1</v>
      </c>
      <c r="L798" s="77" t="s">
        <v>227</v>
      </c>
      <c r="M798" s="78">
        <v>15.174810000000001</v>
      </c>
      <c r="N798" s="79">
        <v>0.69296999999999997</v>
      </c>
      <c r="O798" s="79">
        <v>3.3994800000000001</v>
      </c>
      <c r="P798" s="79">
        <v>233.5095</v>
      </c>
      <c r="Q798" s="77"/>
      <c r="R798" s="77"/>
      <c r="S798" s="77"/>
      <c r="T798" s="77"/>
      <c r="U798" s="77"/>
      <c r="V798" s="87"/>
      <c r="W798" s="87"/>
      <c r="X798" s="87"/>
      <c r="Y798" s="77"/>
      <c r="Z798" s="88"/>
      <c r="AA798" s="35"/>
      <c r="AB798" s="35"/>
    </row>
    <row r="799" spans="1:28" x14ac:dyDescent="0.25">
      <c r="A799" s="68" t="str">
        <f t="shared" si="39"/>
        <v>543629</v>
      </c>
      <c r="B799" s="10">
        <f t="shared" si="37"/>
        <v>18.546990000000001</v>
      </c>
      <c r="C799" s="77" t="s">
        <v>5415</v>
      </c>
      <c r="D799" s="191" t="str">
        <f t="shared" si="38"/>
        <v>StrongLumio spojka RGBCCT LED pásek 12mm - kabel šestilinka</v>
      </c>
      <c r="E799" s="77" t="s">
        <v>3359</v>
      </c>
      <c r="F799" s="77" t="s">
        <v>3360</v>
      </c>
      <c r="G799" s="77" t="s">
        <v>3361</v>
      </c>
      <c r="H799" s="77" t="s">
        <v>6521</v>
      </c>
      <c r="I799" s="77" t="s">
        <v>795</v>
      </c>
      <c r="J799" s="90">
        <v>100</v>
      </c>
      <c r="K799" s="91">
        <v>1</v>
      </c>
      <c r="L799" s="77" t="s">
        <v>227</v>
      </c>
      <c r="M799" s="78">
        <v>18.546990000000001</v>
      </c>
      <c r="N799" s="79">
        <v>0.84699999999999998</v>
      </c>
      <c r="O799" s="79">
        <v>4.1549199999999997</v>
      </c>
      <c r="P799" s="79">
        <v>285.40050000000002</v>
      </c>
      <c r="Q799" s="77"/>
      <c r="R799" s="77"/>
      <c r="S799" s="77"/>
      <c r="T799" s="77"/>
      <c r="U799" s="77"/>
      <c r="V799" s="87"/>
      <c r="W799" s="87"/>
      <c r="X799" s="87"/>
      <c r="Y799" s="77"/>
      <c r="Z799" s="88"/>
      <c r="AA799" s="35"/>
      <c r="AB799" s="35"/>
    </row>
    <row r="800" spans="1:28" x14ac:dyDescent="0.25">
      <c r="A800" s="68" t="str">
        <f t="shared" si="39"/>
        <v>543630</v>
      </c>
      <c r="B800" s="10">
        <f t="shared" ref="B800:B862" si="40">IF($B$1=1,M800,IF($B$1=2,N800,IF($B$1=3,O800,IF($B$1=4,P800))))</f>
        <v>18.546990000000001</v>
      </c>
      <c r="C800" s="77" t="s">
        <v>5416</v>
      </c>
      <c r="D800" s="191" t="str">
        <f t="shared" si="38"/>
        <v>StrongLumio spojka RGBCCT LED pásek 12mm - LED pásek</v>
      </c>
      <c r="E800" s="77" t="s">
        <v>3362</v>
      </c>
      <c r="F800" s="77" t="s">
        <v>3363</v>
      </c>
      <c r="G800" s="77" t="s">
        <v>3364</v>
      </c>
      <c r="H800" s="77" t="s">
        <v>6522</v>
      </c>
      <c r="I800" s="77" t="s">
        <v>795</v>
      </c>
      <c r="J800" s="90">
        <v>100</v>
      </c>
      <c r="K800" s="91">
        <v>1</v>
      </c>
      <c r="L800" s="77" t="s">
        <v>227</v>
      </c>
      <c r="M800" s="78">
        <v>18.546990000000001</v>
      </c>
      <c r="N800" s="79">
        <v>0.84699999999999998</v>
      </c>
      <c r="O800" s="79">
        <v>4.1549199999999997</v>
      </c>
      <c r="P800" s="79">
        <v>285.40050000000002</v>
      </c>
      <c r="Q800" s="77"/>
      <c r="R800" s="77"/>
      <c r="S800" s="77"/>
      <c r="T800" s="77"/>
      <c r="U800" s="77"/>
      <c r="V800" s="87"/>
      <c r="W800" s="87"/>
      <c r="X800" s="87"/>
      <c r="Y800" s="77"/>
      <c r="Z800" s="88"/>
      <c r="AA800" s="35"/>
      <c r="AB800" s="35"/>
    </row>
    <row r="801" spans="1:28" x14ac:dyDescent="0.25">
      <c r="A801" s="68" t="str">
        <f t="shared" si="39"/>
        <v>543627</v>
      </c>
      <c r="B801" s="10">
        <f t="shared" si="40"/>
        <v>16.860900000000001</v>
      </c>
      <c r="C801" s="77" t="s">
        <v>5417</v>
      </c>
      <c r="D801" s="191" t="str">
        <f t="shared" si="38"/>
        <v>StrongLumio spojka RGBW LED pásek 12mm - kabel pětilinka</v>
      </c>
      <c r="E801" s="77" t="s">
        <v>3365</v>
      </c>
      <c r="F801" s="77" t="s">
        <v>3366</v>
      </c>
      <c r="G801" s="77" t="s">
        <v>3367</v>
      </c>
      <c r="H801" s="77" t="s">
        <v>6523</v>
      </c>
      <c r="I801" s="77" t="s">
        <v>795</v>
      </c>
      <c r="J801" s="90">
        <v>100</v>
      </c>
      <c r="K801" s="91">
        <v>1</v>
      </c>
      <c r="L801" s="77" t="s">
        <v>227</v>
      </c>
      <c r="M801" s="78">
        <v>16.860900000000001</v>
      </c>
      <c r="N801" s="79">
        <v>0.77000999999999997</v>
      </c>
      <c r="O801" s="79">
        <v>3.7771599999999999</v>
      </c>
      <c r="P801" s="79">
        <v>259.45499999999998</v>
      </c>
      <c r="Q801" s="77"/>
      <c r="R801" s="77"/>
      <c r="S801" s="77"/>
      <c r="T801" s="77"/>
      <c r="U801" s="77"/>
      <c r="V801" s="87"/>
      <c r="W801" s="87"/>
      <c r="X801" s="87"/>
      <c r="Y801" s="77"/>
      <c r="Z801" s="88"/>
      <c r="AA801" s="35"/>
      <c r="AB801" s="35"/>
    </row>
    <row r="802" spans="1:28" x14ac:dyDescent="0.25">
      <c r="A802" s="68" t="str">
        <f t="shared" si="39"/>
        <v>543628</v>
      </c>
      <c r="B802" s="10">
        <f t="shared" si="40"/>
        <v>16.860900000000001</v>
      </c>
      <c r="C802" s="77" t="s">
        <v>5418</v>
      </c>
      <c r="D802" s="191" t="str">
        <f t="shared" si="38"/>
        <v>StrongLumio spojka RGBW LED pásek 12mm - LED pásek</v>
      </c>
      <c r="E802" s="77" t="s">
        <v>3368</v>
      </c>
      <c r="F802" s="77" t="s">
        <v>3369</v>
      </c>
      <c r="G802" s="77" t="s">
        <v>3368</v>
      </c>
      <c r="H802" s="77" t="s">
        <v>3370</v>
      </c>
      <c r="I802" s="77" t="s">
        <v>795</v>
      </c>
      <c r="J802" s="90">
        <v>100</v>
      </c>
      <c r="K802" s="91">
        <v>1</v>
      </c>
      <c r="L802" s="77" t="s">
        <v>227</v>
      </c>
      <c r="M802" s="78">
        <v>16.860900000000001</v>
      </c>
      <c r="N802" s="79">
        <v>0.77000999999999997</v>
      </c>
      <c r="O802" s="79">
        <v>3.7771599999999999</v>
      </c>
      <c r="P802" s="79">
        <v>259.45499999999998</v>
      </c>
      <c r="Q802" s="77"/>
      <c r="R802" s="77"/>
      <c r="S802" s="77"/>
      <c r="T802" s="77"/>
      <c r="U802" s="77"/>
      <c r="V802" s="87"/>
      <c r="W802" s="87"/>
      <c r="X802" s="87"/>
      <c r="Y802" s="77"/>
      <c r="Z802" s="88"/>
      <c r="AA802" s="35"/>
      <c r="AB802" s="35"/>
    </row>
    <row r="803" spans="1:28" x14ac:dyDescent="0.25">
      <c r="A803" s="68" t="str">
        <f t="shared" si="39"/>
        <v>543622</v>
      </c>
      <c r="B803" s="10">
        <f t="shared" si="40"/>
        <v>21.919170000000001</v>
      </c>
      <c r="C803" s="77" t="s">
        <v>5419</v>
      </c>
      <c r="D803" s="191" t="str">
        <f t="shared" si="38"/>
        <v>StrongLumio spojka rohová CCT/RGB COB LED pásek 10mm - LED pásek</v>
      </c>
      <c r="E803" s="77" t="s">
        <v>3371</v>
      </c>
      <c r="F803" s="77" t="s">
        <v>3372</v>
      </c>
      <c r="G803" s="77" t="s">
        <v>3373</v>
      </c>
      <c r="H803" s="77" t="s">
        <v>6524</v>
      </c>
      <c r="I803" s="77" t="s">
        <v>795</v>
      </c>
      <c r="J803" s="90">
        <v>100</v>
      </c>
      <c r="K803" s="91">
        <v>1</v>
      </c>
      <c r="L803" s="77" t="s">
        <v>227</v>
      </c>
      <c r="M803" s="78">
        <v>21.919170000000001</v>
      </c>
      <c r="N803" s="79">
        <v>1.0009999999999999</v>
      </c>
      <c r="O803" s="79">
        <v>4.9103599999999998</v>
      </c>
      <c r="P803" s="79">
        <v>337.29149999999998</v>
      </c>
      <c r="Q803" s="77"/>
      <c r="R803" s="77"/>
      <c r="S803" s="77"/>
      <c r="T803" s="77"/>
      <c r="U803" s="77"/>
      <c r="V803" s="87"/>
      <c r="W803" s="87"/>
      <c r="X803" s="87"/>
      <c r="Y803" s="77"/>
      <c r="Z803" s="88"/>
      <c r="AA803" s="35"/>
      <c r="AB803" s="35"/>
    </row>
    <row r="804" spans="1:28" x14ac:dyDescent="0.25">
      <c r="A804" s="68" t="str">
        <f t="shared" si="39"/>
        <v>543619</v>
      </c>
      <c r="B804" s="10">
        <f t="shared" si="40"/>
        <v>18.546990000000001</v>
      </c>
      <c r="C804" s="77" t="s">
        <v>5420</v>
      </c>
      <c r="D804" s="191" t="str">
        <f t="shared" si="38"/>
        <v>StrongLumio spojka rohová COB LED pásek 5mm - LED pásek</v>
      </c>
      <c r="E804" s="77" t="s">
        <v>3374</v>
      </c>
      <c r="F804" s="77" t="s">
        <v>3375</v>
      </c>
      <c r="G804" s="77" t="s">
        <v>3376</v>
      </c>
      <c r="H804" s="77" t="s">
        <v>6525</v>
      </c>
      <c r="I804" s="77" t="s">
        <v>795</v>
      </c>
      <c r="J804" s="90">
        <v>100</v>
      </c>
      <c r="K804" s="91">
        <v>1</v>
      </c>
      <c r="L804" s="77" t="s">
        <v>227</v>
      </c>
      <c r="M804" s="78">
        <v>18.546990000000001</v>
      </c>
      <c r="N804" s="79">
        <v>0.84699999999999998</v>
      </c>
      <c r="O804" s="79">
        <v>4.1549199999999997</v>
      </c>
      <c r="P804" s="79">
        <v>285.40050000000002</v>
      </c>
      <c r="Q804" s="77"/>
      <c r="R804" s="77"/>
      <c r="S804" s="77"/>
      <c r="T804" s="77"/>
      <c r="U804" s="77"/>
      <c r="V804" s="87"/>
      <c r="W804" s="87"/>
      <c r="X804" s="87"/>
      <c r="Y804" s="77"/>
      <c r="Z804" s="88"/>
      <c r="AA804" s="35"/>
      <c r="AB804" s="35"/>
    </row>
    <row r="805" spans="1:28" x14ac:dyDescent="0.25">
      <c r="A805" s="68" t="str">
        <f t="shared" si="39"/>
        <v>507814</v>
      </c>
      <c r="B805" s="10">
        <f t="shared" si="40"/>
        <v>9.0908999999999995</v>
      </c>
      <c r="C805" s="77" t="s">
        <v>5421</v>
      </c>
      <c r="D805" s="191" t="str">
        <f t="shared" si="38"/>
        <v>StrongLumio spojka univerzální LED pásek 10mm - kabel dvojlinka</v>
      </c>
      <c r="E805" s="77" t="s">
        <v>3377</v>
      </c>
      <c r="F805" s="77" t="s">
        <v>3378</v>
      </c>
      <c r="G805" s="77" t="s">
        <v>3380</v>
      </c>
      <c r="H805" s="77" t="s">
        <v>3379</v>
      </c>
      <c r="I805" s="77" t="s">
        <v>795</v>
      </c>
      <c r="J805" s="90">
        <v>100</v>
      </c>
      <c r="K805" s="91">
        <v>1</v>
      </c>
      <c r="L805" s="77" t="s">
        <v>227</v>
      </c>
      <c r="M805" s="78">
        <v>9.0908999999999995</v>
      </c>
      <c r="N805" s="79">
        <v>0.40600000000000003</v>
      </c>
      <c r="O805" s="79">
        <v>1.8131200000000001</v>
      </c>
      <c r="P805" s="79">
        <v>140.79884999999999</v>
      </c>
      <c r="Q805" s="77"/>
      <c r="R805" s="77"/>
      <c r="S805" s="77"/>
      <c r="T805" s="77"/>
      <c r="U805" s="77"/>
      <c r="V805" s="87"/>
      <c r="W805" s="87"/>
      <c r="X805" s="87"/>
      <c r="Y805" s="77"/>
      <c r="Z805" s="88"/>
      <c r="AA805" s="35"/>
      <c r="AB805" s="35"/>
    </row>
    <row r="806" spans="1:28" x14ac:dyDescent="0.25">
      <c r="A806" s="68" t="str">
        <f t="shared" si="39"/>
        <v>507813</v>
      </c>
      <c r="B806" s="10">
        <f t="shared" si="40"/>
        <v>8.1818100000000005</v>
      </c>
      <c r="C806" s="77" t="s">
        <v>5422</v>
      </c>
      <c r="D806" s="191" t="str">
        <f t="shared" si="38"/>
        <v>StrongLumio spojka univerzální LED pásek 8mm - kabel dvojlinka</v>
      </c>
      <c r="E806" s="77" t="s">
        <v>3381</v>
      </c>
      <c r="F806" s="77" t="s">
        <v>3382</v>
      </c>
      <c r="G806" s="77" t="s">
        <v>3384</v>
      </c>
      <c r="H806" s="77" t="s">
        <v>3383</v>
      </c>
      <c r="I806" s="77" t="s">
        <v>795</v>
      </c>
      <c r="J806" s="90">
        <v>100</v>
      </c>
      <c r="K806" s="91">
        <v>1</v>
      </c>
      <c r="L806" s="77" t="s">
        <v>227</v>
      </c>
      <c r="M806" s="78">
        <v>8.1818100000000005</v>
      </c>
      <c r="N806" s="79">
        <v>0.36541000000000001</v>
      </c>
      <c r="O806" s="79">
        <v>1.7315199999999999</v>
      </c>
      <c r="P806" s="79">
        <v>126.71899000000001</v>
      </c>
      <c r="Q806" s="77"/>
      <c r="R806" s="77"/>
      <c r="S806" s="77"/>
      <c r="T806" s="77"/>
      <c r="U806" s="77"/>
      <c r="V806" s="87"/>
      <c r="W806" s="87"/>
      <c r="X806" s="87"/>
      <c r="Y806" s="77"/>
      <c r="Z806" s="88"/>
      <c r="AA806" s="35"/>
      <c r="AB806" s="35"/>
    </row>
    <row r="807" spans="1:28" x14ac:dyDescent="0.25">
      <c r="A807" s="68" t="str">
        <f t="shared" si="39"/>
        <v>551049</v>
      </c>
      <c r="B807" s="10">
        <f t="shared" si="40"/>
        <v>682.82222000000002</v>
      </c>
      <c r="C807" s="77" t="s">
        <v>5423</v>
      </c>
      <c r="D807" s="191" t="str">
        <f t="shared" si="38"/>
        <v>StrongLumio spojovací sada rohová k profilům Maglyte</v>
      </c>
      <c r="E807" s="77" t="s">
        <v>3385</v>
      </c>
      <c r="F807" s="77" t="s">
        <v>3386</v>
      </c>
      <c r="G807" s="77" t="s">
        <v>3388</v>
      </c>
      <c r="H807" s="77" t="s">
        <v>3387</v>
      </c>
      <c r="I807" s="77" t="s">
        <v>889</v>
      </c>
      <c r="J807" s="90">
        <v>10</v>
      </c>
      <c r="K807" s="91">
        <v>1</v>
      </c>
      <c r="L807" s="77" t="s">
        <v>227</v>
      </c>
      <c r="M807" s="78">
        <v>682.82222000000002</v>
      </c>
      <c r="N807" s="79">
        <v>26.750900000000001</v>
      </c>
      <c r="O807" s="79">
        <v>67.124840000000006</v>
      </c>
      <c r="P807" s="79">
        <v>9585.8915300000008</v>
      </c>
      <c r="Q807" s="77"/>
      <c r="R807" s="77"/>
      <c r="S807" s="77"/>
      <c r="T807" s="77"/>
      <c r="U807" s="77"/>
      <c r="V807" s="87"/>
      <c r="W807" s="87"/>
      <c r="X807" s="87"/>
      <c r="Y807" s="77"/>
      <c r="Z807" s="88"/>
      <c r="AA807" s="35"/>
      <c r="AB807" s="35"/>
    </row>
    <row r="808" spans="1:28" x14ac:dyDescent="0.25">
      <c r="A808" s="68" t="str">
        <f t="shared" si="39"/>
        <v>551048</v>
      </c>
      <c r="B808" s="10">
        <f t="shared" si="40"/>
        <v>632.83324000000005</v>
      </c>
      <c r="C808" s="77" t="s">
        <v>5424</v>
      </c>
      <c r="D808" s="191" t="str">
        <f t="shared" si="38"/>
        <v>StrongLumio spojovací sada rovná k profilům Maglyte</v>
      </c>
      <c r="E808" s="77" t="s">
        <v>3389</v>
      </c>
      <c r="F808" s="77" t="s">
        <v>3390</v>
      </c>
      <c r="G808" s="77" t="s">
        <v>3392</v>
      </c>
      <c r="H808" s="77" t="s">
        <v>3391</v>
      </c>
      <c r="I808" s="77" t="s">
        <v>889</v>
      </c>
      <c r="J808" s="90">
        <v>10</v>
      </c>
      <c r="K808" s="91">
        <v>1</v>
      </c>
      <c r="L808" s="77" t="s">
        <v>227</v>
      </c>
      <c r="M808" s="78">
        <v>632.83324000000005</v>
      </c>
      <c r="N808" s="79">
        <v>24.792470000000002</v>
      </c>
      <c r="O808" s="79">
        <v>62.21067</v>
      </c>
      <c r="P808" s="79">
        <v>8884.1143900000006</v>
      </c>
      <c r="Q808" s="77"/>
      <c r="R808" s="77"/>
      <c r="S808" s="77"/>
      <c r="T808" s="77"/>
      <c r="U808" s="77"/>
      <c r="V808" s="87"/>
      <c r="W808" s="87"/>
      <c r="X808" s="87"/>
      <c r="Y808" s="77"/>
      <c r="Z808" s="88"/>
      <c r="AA808" s="35"/>
      <c r="AB808" s="35"/>
    </row>
    <row r="809" spans="1:28" x14ac:dyDescent="0.25">
      <c r="A809" s="68" t="str">
        <f t="shared" si="39"/>
        <v>405214</v>
      </c>
      <c r="B809" s="10">
        <f t="shared" si="40"/>
        <v>8.0121599999999997</v>
      </c>
      <c r="C809" s="77" t="s">
        <v>5425</v>
      </c>
      <c r="D809" s="191" t="str">
        <f t="shared" si="38"/>
        <v>StrongLumio spona pro LED profil Arbona, kovová</v>
      </c>
      <c r="E809" s="77" t="s">
        <v>3393</v>
      </c>
      <c r="F809" s="77" t="s">
        <v>3394</v>
      </c>
      <c r="G809" s="77" t="s">
        <v>3396</v>
      </c>
      <c r="H809" s="77" t="s">
        <v>3395</v>
      </c>
      <c r="I809" s="77" t="s">
        <v>795</v>
      </c>
      <c r="J809" s="90">
        <v>1</v>
      </c>
      <c r="K809" s="91">
        <v>1</v>
      </c>
      <c r="L809" s="77" t="s">
        <v>227</v>
      </c>
      <c r="M809" s="78">
        <v>8.0121599999999997</v>
      </c>
      <c r="N809" s="79">
        <v>0.31252000000000002</v>
      </c>
      <c r="O809" s="79">
        <v>0.85129999999999995</v>
      </c>
      <c r="P809" s="79">
        <v>113.80907999999999</v>
      </c>
      <c r="Q809" s="77"/>
      <c r="R809" s="77"/>
      <c r="S809" s="77"/>
      <c r="T809" s="77"/>
      <c r="U809" s="77"/>
      <c r="V809" s="87"/>
      <c r="W809" s="87"/>
      <c r="X809" s="87"/>
      <c r="Y809" s="77"/>
      <c r="Z809" s="88"/>
      <c r="AA809" s="35"/>
      <c r="AB809" s="35"/>
    </row>
    <row r="810" spans="1:28" x14ac:dyDescent="0.25">
      <c r="A810" s="68" t="str">
        <f t="shared" si="39"/>
        <v>342529</v>
      </c>
      <c r="B810" s="10">
        <f t="shared" si="40"/>
        <v>8.0121599999999997</v>
      </c>
      <c r="C810" s="77" t="s">
        <v>5426</v>
      </c>
      <c r="D810" s="191" t="str">
        <f t="shared" si="38"/>
        <v>StrongLumio spona pro LED profil Belcore šedá</v>
      </c>
      <c r="E810" s="77" t="s">
        <v>3397</v>
      </c>
      <c r="F810" s="77" t="s">
        <v>3398</v>
      </c>
      <c r="G810" s="77" t="s">
        <v>3400</v>
      </c>
      <c r="H810" s="77" t="s">
        <v>3399</v>
      </c>
      <c r="I810" s="77" t="s">
        <v>795</v>
      </c>
      <c r="J810" s="90">
        <v>1</v>
      </c>
      <c r="K810" s="91">
        <v>1</v>
      </c>
      <c r="L810" s="77" t="s">
        <v>227</v>
      </c>
      <c r="M810" s="78">
        <v>8.0121599999999997</v>
      </c>
      <c r="N810" s="79">
        <v>0.31252000000000002</v>
      </c>
      <c r="O810" s="79">
        <v>0.91737999999999997</v>
      </c>
      <c r="P810" s="79">
        <v>113.80907999999999</v>
      </c>
      <c r="Q810" s="77"/>
      <c r="R810" s="77"/>
      <c r="S810" s="77"/>
      <c r="T810" s="77"/>
      <c r="U810" s="77"/>
      <c r="V810" s="87"/>
      <c r="W810" s="87"/>
      <c r="X810" s="87"/>
      <c r="Y810" s="77"/>
      <c r="Z810" s="88"/>
      <c r="AA810" s="35"/>
      <c r="AB810" s="35"/>
    </row>
    <row r="811" spans="1:28" x14ac:dyDescent="0.25">
      <c r="A811" s="68" t="str">
        <f t="shared" si="39"/>
        <v>342533</v>
      </c>
      <c r="B811" s="10">
        <f t="shared" si="40"/>
        <v>8.0121599999999997</v>
      </c>
      <c r="C811" s="77" t="s">
        <v>5427</v>
      </c>
      <c r="D811" s="191" t="str">
        <f t="shared" si="38"/>
        <v>StrongLumio spona pro LED profil Fanto šedá</v>
      </c>
      <c r="E811" s="77" t="s">
        <v>3401</v>
      </c>
      <c r="F811" s="77" t="s">
        <v>3402</v>
      </c>
      <c r="G811" s="77" t="s">
        <v>3404</v>
      </c>
      <c r="H811" s="77" t="s">
        <v>3403</v>
      </c>
      <c r="I811" s="77" t="s">
        <v>795</v>
      </c>
      <c r="J811" s="90">
        <v>1</v>
      </c>
      <c r="K811" s="91">
        <v>1</v>
      </c>
      <c r="L811" s="77" t="s">
        <v>227</v>
      </c>
      <c r="M811" s="78">
        <v>8.0121599999999997</v>
      </c>
      <c r="N811" s="79">
        <v>0.31252000000000002</v>
      </c>
      <c r="O811" s="79">
        <v>0.94718999999999998</v>
      </c>
      <c r="P811" s="79">
        <v>113.80907999999999</v>
      </c>
      <c r="Q811" s="77"/>
      <c r="R811" s="77"/>
      <c r="S811" s="77"/>
      <c r="T811" s="77"/>
      <c r="U811" s="77"/>
      <c r="V811" s="87"/>
      <c r="W811" s="87"/>
      <c r="X811" s="87"/>
      <c r="Y811" s="77"/>
      <c r="Z811" s="88"/>
      <c r="AA811" s="35"/>
      <c r="AB811" s="35"/>
    </row>
    <row r="812" spans="1:28" x14ac:dyDescent="0.25">
      <c r="A812" s="68" t="str">
        <f t="shared" si="39"/>
        <v>504168</v>
      </c>
      <c r="B812" s="10">
        <f t="shared" si="40"/>
        <v>9.1287000000000003</v>
      </c>
      <c r="C812" s="77" t="s">
        <v>5428</v>
      </c>
      <c r="D812" s="191" t="str">
        <f t="shared" si="38"/>
        <v>StrongLumio těsnění pro LED profil Lucera</v>
      </c>
      <c r="E812" s="77" t="s">
        <v>3405</v>
      </c>
      <c r="F812" s="77" t="s">
        <v>3406</v>
      </c>
      <c r="G812" s="77" t="s">
        <v>3408</v>
      </c>
      <c r="H812" s="77" t="s">
        <v>3407</v>
      </c>
      <c r="I812" s="77" t="s">
        <v>992</v>
      </c>
      <c r="J812" s="90">
        <v>10</v>
      </c>
      <c r="K812" s="91">
        <v>1</v>
      </c>
      <c r="L812" s="77" t="s">
        <v>6565</v>
      </c>
      <c r="M812" s="78">
        <v>9.1287000000000003</v>
      </c>
      <c r="N812" s="79">
        <v>0.35986000000000001</v>
      </c>
      <c r="O812" s="79">
        <v>0.90298</v>
      </c>
      <c r="P812" s="79">
        <v>129.375</v>
      </c>
      <c r="Q812" s="77"/>
      <c r="R812" s="77"/>
      <c r="S812" s="77"/>
      <c r="T812" s="77"/>
      <c r="U812" s="77"/>
      <c r="V812" s="87"/>
      <c r="W812" s="87"/>
      <c r="X812" s="87"/>
      <c r="Y812" s="77"/>
      <c r="Z812" s="88"/>
      <c r="AA812" s="35"/>
      <c r="AB812" s="35"/>
    </row>
    <row r="813" spans="1:28" x14ac:dyDescent="0.25">
      <c r="A813" s="68" t="str">
        <f t="shared" si="39"/>
        <v>230893</v>
      </c>
      <c r="B813" s="10">
        <f t="shared" si="40"/>
        <v>19.230250000000002</v>
      </c>
      <c r="C813" s="77" t="s">
        <v>5429</v>
      </c>
      <c r="D813" s="191" t="str">
        <f t="shared" si="38"/>
        <v>StrongLumio úchyt profilu Pen8 + koncovka (pár)</v>
      </c>
      <c r="E813" s="77" t="s">
        <v>3409</v>
      </c>
      <c r="F813" s="77" t="s">
        <v>3409</v>
      </c>
      <c r="G813" s="77" t="s">
        <v>3411</v>
      </c>
      <c r="H813" s="77" t="s">
        <v>3410</v>
      </c>
      <c r="I813" s="77" t="s">
        <v>1232</v>
      </c>
      <c r="J813" s="90">
        <v>10</v>
      </c>
      <c r="K813" s="91">
        <v>1</v>
      </c>
      <c r="L813" s="77" t="s">
        <v>227</v>
      </c>
      <c r="M813" s="78">
        <v>19.230250000000002</v>
      </c>
      <c r="N813" s="79">
        <v>0.88815999999999995</v>
      </c>
      <c r="O813" s="79">
        <v>6.93011</v>
      </c>
      <c r="P813" s="79">
        <v>306.21417000000002</v>
      </c>
      <c r="Q813" s="77"/>
      <c r="R813" s="77"/>
      <c r="S813" s="77"/>
      <c r="T813" s="77"/>
      <c r="U813" s="77"/>
      <c r="V813" s="87"/>
      <c r="W813" s="87"/>
      <c r="X813" s="87"/>
      <c r="Y813" s="77"/>
      <c r="Z813" s="88"/>
      <c r="AA813" s="35"/>
      <c r="AB813" s="35"/>
    </row>
    <row r="814" spans="1:28" x14ac:dyDescent="0.25">
      <c r="A814" s="68" t="str">
        <f t="shared" si="39"/>
        <v>130663</v>
      </c>
      <c r="B814" s="10">
        <f t="shared" si="40"/>
        <v>104.4729</v>
      </c>
      <c r="C814" s="77" t="s">
        <v>5430</v>
      </c>
      <c r="D814" s="191" t="str">
        <f t="shared" si="38"/>
        <v>StrongLumio úchytový profil Fix pro LED profily 2000mm</v>
      </c>
      <c r="E814" s="77" t="s">
        <v>3412</v>
      </c>
      <c r="F814" s="77" t="s">
        <v>3413</v>
      </c>
      <c r="G814" s="77" t="s">
        <v>3415</v>
      </c>
      <c r="H814" s="77" t="s">
        <v>3414</v>
      </c>
      <c r="I814" s="77" t="s">
        <v>795</v>
      </c>
      <c r="J814" s="90">
        <v>40</v>
      </c>
      <c r="K814" s="91">
        <v>1</v>
      </c>
      <c r="L814" s="77" t="s">
        <v>6565</v>
      </c>
      <c r="M814" s="78">
        <v>104.4729</v>
      </c>
      <c r="N814" s="79">
        <v>4.1344799999999999</v>
      </c>
      <c r="O814" s="79">
        <v>10.735329999999999</v>
      </c>
      <c r="P814" s="79">
        <v>1480.62499</v>
      </c>
      <c r="Q814" s="77"/>
      <c r="R814" s="77"/>
      <c r="S814" s="77"/>
      <c r="T814" s="77"/>
      <c r="U814" s="77"/>
      <c r="V814" s="87"/>
      <c r="W814" s="87"/>
      <c r="X814" s="87"/>
      <c r="Y814" s="77"/>
      <c r="Z814" s="88"/>
      <c r="AA814" s="35"/>
      <c r="AB814" s="35"/>
    </row>
    <row r="815" spans="1:28" x14ac:dyDescent="0.25">
      <c r="A815" s="68" t="str">
        <f t="shared" si="39"/>
        <v>215054</v>
      </c>
      <c r="B815" s="10">
        <f t="shared" si="40"/>
        <v>20.793150000000001</v>
      </c>
      <c r="C815" s="77" t="s">
        <v>5431</v>
      </c>
      <c r="D815" s="191" t="str">
        <f t="shared" si="38"/>
        <v>StrongLumio úchyty pružinové pro LED profil (pár)</v>
      </c>
      <c r="E815" s="77" t="s">
        <v>3416</v>
      </c>
      <c r="F815" s="77" t="s">
        <v>3417</v>
      </c>
      <c r="G815" s="77" t="s">
        <v>3419</v>
      </c>
      <c r="H815" s="77" t="s">
        <v>3418</v>
      </c>
      <c r="I815" s="77" t="s">
        <v>1463</v>
      </c>
      <c r="J815" s="90">
        <v>10</v>
      </c>
      <c r="K815" s="91">
        <v>1</v>
      </c>
      <c r="L815" s="77" t="s">
        <v>276</v>
      </c>
      <c r="M815" s="78">
        <v>20.793150000000001</v>
      </c>
      <c r="N815" s="79">
        <v>0.81967000000000001</v>
      </c>
      <c r="O815" s="79">
        <v>2.2431399999999999</v>
      </c>
      <c r="P815" s="79">
        <v>294.68749000000003</v>
      </c>
      <c r="Q815" s="77"/>
      <c r="R815" s="77"/>
      <c r="S815" s="77"/>
      <c r="T815" s="77"/>
      <c r="U815" s="77"/>
      <c r="V815" s="87"/>
      <c r="W815" s="87"/>
      <c r="X815" s="87"/>
      <c r="Y815" s="77"/>
      <c r="Z815" s="88"/>
      <c r="AA815" s="35"/>
      <c r="AB815" s="35"/>
    </row>
    <row r="816" spans="1:28" x14ac:dyDescent="0.25">
      <c r="A816" s="68" t="str">
        <f t="shared" si="39"/>
        <v>462078</v>
      </c>
      <c r="B816" s="10">
        <f t="shared" si="40"/>
        <v>25.376000000000001</v>
      </c>
      <c r="C816" s="77" t="s">
        <v>5432</v>
      </c>
      <c r="D816" s="191" t="str">
        <f t="shared" si="38"/>
        <v>StrongLumio úchyty pružinové pro LED profily 14 (pár)</v>
      </c>
      <c r="E816" s="77" t="s">
        <v>3420</v>
      </c>
      <c r="F816" s="77" t="s">
        <v>3421</v>
      </c>
      <c r="G816" s="77" t="s">
        <v>3423</v>
      </c>
      <c r="H816" s="77" t="s">
        <v>3422</v>
      </c>
      <c r="I816" s="77" t="s">
        <v>1463</v>
      </c>
      <c r="J816" s="90">
        <v>10</v>
      </c>
      <c r="K816" s="91">
        <v>1</v>
      </c>
      <c r="L816" s="77" t="s">
        <v>227</v>
      </c>
      <c r="M816" s="78">
        <v>25.376000000000001</v>
      </c>
      <c r="N816" s="79">
        <v>1.00464</v>
      </c>
      <c r="O816" s="79">
        <v>2.77719</v>
      </c>
      <c r="P816" s="79">
        <v>359.37499000000003</v>
      </c>
      <c r="Q816" s="77"/>
      <c r="R816" s="77"/>
      <c r="S816" s="77"/>
      <c r="T816" s="77"/>
      <c r="U816" s="77"/>
      <c r="V816" s="87"/>
      <c r="W816" s="87"/>
      <c r="X816" s="87"/>
      <c r="Y816" s="77"/>
      <c r="Z816" s="88"/>
      <c r="AA816" s="35"/>
      <c r="AB816" s="35"/>
    </row>
    <row r="817" spans="1:28" x14ac:dyDescent="0.25">
      <c r="A817" s="68" t="str">
        <f t="shared" si="39"/>
        <v>285059</v>
      </c>
      <c r="B817" s="10">
        <f t="shared" si="40"/>
        <v>36.112000000000002</v>
      </c>
      <c r="C817" s="77" t="s">
        <v>5433</v>
      </c>
      <c r="D817" s="191" t="str">
        <f t="shared" si="38"/>
        <v>StrongLumio úchyty pružinové Smart 10/Slim 8, bílá (pár)</v>
      </c>
      <c r="E817" s="77" t="s">
        <v>3424</v>
      </c>
      <c r="F817" s="77" t="s">
        <v>3425</v>
      </c>
      <c r="G817" s="77" t="s">
        <v>3427</v>
      </c>
      <c r="H817" s="77" t="s">
        <v>3426</v>
      </c>
      <c r="I817" s="77" t="s">
        <v>1463</v>
      </c>
      <c r="J817" s="90">
        <v>10</v>
      </c>
      <c r="K817" s="91">
        <v>1</v>
      </c>
      <c r="L817" s="77" t="s">
        <v>227</v>
      </c>
      <c r="M817" s="78">
        <v>36.112000000000002</v>
      </c>
      <c r="N817" s="79">
        <v>1.4296800000000001</v>
      </c>
      <c r="O817" s="79">
        <v>3.91079</v>
      </c>
      <c r="P817" s="79">
        <v>503.12500999999997</v>
      </c>
      <c r="Q817" s="77"/>
      <c r="R817" s="77"/>
      <c r="S817" s="77"/>
      <c r="T817" s="77"/>
      <c r="U817" s="77"/>
      <c r="V817" s="87"/>
      <c r="W817" s="87"/>
      <c r="X817" s="87"/>
      <c r="Y817" s="77"/>
      <c r="Z817" s="88"/>
      <c r="AA817" s="35"/>
      <c r="AB817" s="35"/>
    </row>
    <row r="818" spans="1:28" x14ac:dyDescent="0.25">
      <c r="A818" s="68" t="str">
        <f t="shared" si="39"/>
        <v>285060</v>
      </c>
      <c r="B818" s="10">
        <f t="shared" si="40"/>
        <v>36.112000000000002</v>
      </c>
      <c r="C818" s="77" t="s">
        <v>5434</v>
      </c>
      <c r="D818" s="191" t="str">
        <f t="shared" si="38"/>
        <v>StrongLumio úchyty pružinové Smart 10/Slim 8, černá (pár)</v>
      </c>
      <c r="E818" s="77" t="s">
        <v>3428</v>
      </c>
      <c r="F818" s="77" t="s">
        <v>3429</v>
      </c>
      <c r="G818" s="77" t="s">
        <v>3431</v>
      </c>
      <c r="H818" s="77" t="s">
        <v>3430</v>
      </c>
      <c r="I818" s="77" t="s">
        <v>1463</v>
      </c>
      <c r="J818" s="90">
        <v>10</v>
      </c>
      <c r="K818" s="91">
        <v>1</v>
      </c>
      <c r="L818" s="77" t="s">
        <v>227</v>
      </c>
      <c r="M818" s="78">
        <v>36.112000000000002</v>
      </c>
      <c r="N818" s="79">
        <v>1.4296800000000001</v>
      </c>
      <c r="O818" s="79">
        <v>3.91079</v>
      </c>
      <c r="P818" s="79">
        <v>503.12500999999997</v>
      </c>
      <c r="Q818" s="77"/>
      <c r="R818" s="77"/>
      <c r="S818" s="77"/>
      <c r="T818" s="77"/>
      <c r="U818" s="77"/>
      <c r="V818" s="87"/>
      <c r="W818" s="87"/>
      <c r="X818" s="87"/>
      <c r="Y818" s="77"/>
      <c r="Z818" s="88"/>
      <c r="AA818" s="35"/>
      <c r="AB818" s="35"/>
    </row>
    <row r="819" spans="1:28" x14ac:dyDescent="0.25">
      <c r="A819" s="68" t="str">
        <f t="shared" si="39"/>
        <v>230862</v>
      </c>
      <c r="B819" s="10">
        <f t="shared" si="40"/>
        <v>22.314599999999999</v>
      </c>
      <c r="C819" s="77" t="s">
        <v>5435</v>
      </c>
      <c r="D819" s="191" t="str">
        <f t="shared" si="38"/>
        <v>StrongLumio úchyty pružinové Smart 10/Slim 8, inox (pár)</v>
      </c>
      <c r="E819" s="77" t="s">
        <v>3432</v>
      </c>
      <c r="F819" s="77" t="s">
        <v>3432</v>
      </c>
      <c r="G819" s="77" t="s">
        <v>3434</v>
      </c>
      <c r="H819" s="77" t="s">
        <v>3433</v>
      </c>
      <c r="I819" s="77" t="s">
        <v>1463</v>
      </c>
      <c r="J819" s="90">
        <v>10</v>
      </c>
      <c r="K819" s="91">
        <v>1</v>
      </c>
      <c r="L819" s="77" t="s">
        <v>227</v>
      </c>
      <c r="M819" s="78">
        <v>22.314599999999999</v>
      </c>
      <c r="N819" s="79">
        <v>0.87965000000000004</v>
      </c>
      <c r="O819" s="79">
        <v>2.3762099999999999</v>
      </c>
      <c r="P819" s="79">
        <v>316.24999000000003</v>
      </c>
      <c r="Q819" s="77"/>
      <c r="R819" s="77"/>
      <c r="S819" s="77"/>
      <c r="T819" s="77"/>
      <c r="U819" s="77"/>
      <c r="V819" s="87"/>
      <c r="W819" s="87"/>
      <c r="X819" s="87"/>
      <c r="Y819" s="77"/>
      <c r="Z819" s="88"/>
      <c r="AA819" s="35"/>
      <c r="AB819" s="35"/>
    </row>
    <row r="820" spans="1:28" x14ac:dyDescent="0.25">
      <c r="A820" s="68" t="str">
        <f t="shared" si="39"/>
        <v>422011</v>
      </c>
      <c r="B820" s="10">
        <f t="shared" si="40"/>
        <v>48.686399999999999</v>
      </c>
      <c r="C820" s="77" t="s">
        <v>5436</v>
      </c>
      <c r="D820" s="191" t="str">
        <f t="shared" si="38"/>
        <v>StrongLumio úchyty pružinový Wide 24 inox (pár)</v>
      </c>
      <c r="E820" s="77" t="s">
        <v>3435</v>
      </c>
      <c r="F820" s="77" t="s">
        <v>3436</v>
      </c>
      <c r="G820" s="77" t="s">
        <v>3438</v>
      </c>
      <c r="H820" s="77" t="s">
        <v>3437</v>
      </c>
      <c r="I820" s="77" t="s">
        <v>1463</v>
      </c>
      <c r="J820" s="90">
        <v>10</v>
      </c>
      <c r="K820" s="91">
        <v>10</v>
      </c>
      <c r="L820" s="77" t="s">
        <v>6565</v>
      </c>
      <c r="M820" s="78">
        <v>48.686399999999999</v>
      </c>
      <c r="N820" s="79">
        <v>1.91923</v>
      </c>
      <c r="O820" s="79">
        <v>5.29542</v>
      </c>
      <c r="P820" s="79">
        <v>690</v>
      </c>
      <c r="Q820" s="77"/>
      <c r="R820" s="77"/>
      <c r="S820" s="77"/>
      <c r="T820" s="77"/>
      <c r="U820" s="77"/>
      <c r="V820" s="87"/>
      <c r="W820" s="87"/>
      <c r="X820" s="87"/>
      <c r="Y820" s="77"/>
      <c r="Z820" s="88"/>
      <c r="AA820" s="35"/>
      <c r="AB820" s="35"/>
    </row>
    <row r="821" spans="1:28" x14ac:dyDescent="0.25">
      <c r="A821" s="68" t="str">
        <f t="shared" si="39"/>
        <v>134116</v>
      </c>
      <c r="B821" s="10">
        <f t="shared" si="40"/>
        <v>79.090829999999997</v>
      </c>
      <c r="C821" s="77" t="s">
        <v>5437</v>
      </c>
      <c r="D821" s="191" t="str">
        <f t="shared" si="38"/>
        <v>StrongLumio vypínač dveřní mechanický 230V 2A, bílá</v>
      </c>
      <c r="E821" s="77" t="s">
        <v>3439</v>
      </c>
      <c r="F821" s="77" t="s">
        <v>3440</v>
      </c>
      <c r="G821" s="77" t="s">
        <v>3442</v>
      </c>
      <c r="H821" s="77" t="s">
        <v>3441</v>
      </c>
      <c r="I821" s="77" t="s">
        <v>795</v>
      </c>
      <c r="J821" s="90">
        <v>250</v>
      </c>
      <c r="K821" s="91">
        <v>1</v>
      </c>
      <c r="L821" s="77" t="s">
        <v>227</v>
      </c>
      <c r="M821" s="78">
        <v>79.090829999999997</v>
      </c>
      <c r="N821" s="79">
        <v>3.5322399999999998</v>
      </c>
      <c r="O821" s="79">
        <v>11.21307</v>
      </c>
      <c r="P821" s="79">
        <v>1224.9501</v>
      </c>
      <c r="Q821" s="77"/>
      <c r="R821" s="77"/>
      <c r="S821" s="77"/>
      <c r="T821" s="77"/>
      <c r="U821" s="77"/>
      <c r="V821" s="87"/>
      <c r="W821" s="87"/>
      <c r="X821" s="87"/>
      <c r="Y821" s="77"/>
      <c r="Z821" s="88"/>
      <c r="AA821" s="35"/>
      <c r="AB821" s="35"/>
    </row>
    <row r="822" spans="1:28" x14ac:dyDescent="0.25">
      <c r="A822" s="68" t="str">
        <f t="shared" si="39"/>
        <v>134117</v>
      </c>
      <c r="B822" s="10">
        <f t="shared" si="40"/>
        <v>79.090829999999997</v>
      </c>
      <c r="C822" s="77" t="s">
        <v>5438</v>
      </c>
      <c r="D822" s="191" t="str">
        <f t="shared" si="38"/>
        <v>StrongLumio vypínač dveřní mechanický 230V 2A, černá</v>
      </c>
      <c r="E822" s="77" t="s">
        <v>3443</v>
      </c>
      <c r="F822" s="77" t="s">
        <v>3444</v>
      </c>
      <c r="G822" s="77" t="s">
        <v>3446</v>
      </c>
      <c r="H822" s="77" t="s">
        <v>3445</v>
      </c>
      <c r="I822" s="77" t="s">
        <v>795</v>
      </c>
      <c r="J822" s="90">
        <v>250</v>
      </c>
      <c r="K822" s="91">
        <v>1</v>
      </c>
      <c r="L822" s="77" t="s">
        <v>227</v>
      </c>
      <c r="M822" s="78">
        <v>79.090829999999997</v>
      </c>
      <c r="N822" s="79">
        <v>3.5322399999999998</v>
      </c>
      <c r="O822" s="79">
        <v>11.11027</v>
      </c>
      <c r="P822" s="79">
        <v>1224.9501</v>
      </c>
      <c r="Q822" s="77"/>
      <c r="R822" s="77"/>
      <c r="S822" s="77"/>
      <c r="T822" s="77"/>
      <c r="U822" s="77"/>
      <c r="V822" s="87"/>
      <c r="W822" s="87"/>
      <c r="X822" s="87"/>
      <c r="Y822" s="77"/>
      <c r="Z822" s="88"/>
      <c r="AA822" s="35"/>
      <c r="AB822" s="35"/>
    </row>
    <row r="823" spans="1:28" x14ac:dyDescent="0.25">
      <c r="A823" s="68" t="str">
        <f t="shared" si="39"/>
        <v>SAL341</v>
      </c>
      <c r="B823" s="10">
        <f t="shared" si="40"/>
        <v>14.413349999999999</v>
      </c>
      <c r="C823" s="77" t="s">
        <v>3447</v>
      </c>
      <c r="D823" s="191" t="str">
        <f t="shared" si="38"/>
        <v>StrongLumio vypínač kolébkový R13 230V 4A bílá</v>
      </c>
      <c r="E823" s="77" t="s">
        <v>3448</v>
      </c>
      <c r="F823" s="77" t="s">
        <v>3449</v>
      </c>
      <c r="G823" s="77" t="s">
        <v>3451</v>
      </c>
      <c r="H823" s="77" t="s">
        <v>3450</v>
      </c>
      <c r="I823" s="77" t="s">
        <v>795</v>
      </c>
      <c r="J823" s="90">
        <v>1</v>
      </c>
      <c r="K823" s="91">
        <v>1</v>
      </c>
      <c r="L823" s="77" t="s">
        <v>227</v>
      </c>
      <c r="M823" s="78">
        <v>14.413349999999999</v>
      </c>
      <c r="N823" s="79">
        <v>0.65822999999999998</v>
      </c>
      <c r="O823" s="79">
        <v>2.35724</v>
      </c>
      <c r="P823" s="79">
        <v>267.51783999999998</v>
      </c>
      <c r="Q823" s="77"/>
      <c r="R823" s="77"/>
      <c r="S823" s="77"/>
      <c r="T823" s="77"/>
      <c r="U823" s="77"/>
      <c r="V823" s="87"/>
      <c r="W823" s="87"/>
      <c r="X823" s="87"/>
      <c r="Y823" s="77"/>
      <c r="Z823" s="88"/>
      <c r="AA823" s="35"/>
      <c r="AB823" s="35"/>
    </row>
    <row r="824" spans="1:28" x14ac:dyDescent="0.25">
      <c r="A824" s="68" t="str">
        <f t="shared" si="39"/>
        <v>SAL342</v>
      </c>
      <c r="B824" s="10">
        <f t="shared" si="40"/>
        <v>15.45453</v>
      </c>
      <c r="C824" s="77" t="s">
        <v>3452</v>
      </c>
      <c r="D824" s="191" t="str">
        <f t="shared" si="38"/>
        <v>StrongLumio vypínač kolébkový R13 230V 4A černý</v>
      </c>
      <c r="E824" s="77" t="s">
        <v>3453</v>
      </c>
      <c r="F824" s="77" t="s">
        <v>3454</v>
      </c>
      <c r="G824" s="77" t="s">
        <v>3456</v>
      </c>
      <c r="H824" s="77" t="s">
        <v>3455</v>
      </c>
      <c r="I824" s="77" t="s">
        <v>795</v>
      </c>
      <c r="J824" s="90">
        <v>1</v>
      </c>
      <c r="K824" s="91">
        <v>1</v>
      </c>
      <c r="L824" s="77" t="s">
        <v>227</v>
      </c>
      <c r="M824" s="78">
        <v>15.45453</v>
      </c>
      <c r="N824" s="79">
        <v>0.69020000000000004</v>
      </c>
      <c r="O824" s="79">
        <v>2.21671</v>
      </c>
      <c r="P824" s="79">
        <v>239.35807</v>
      </c>
      <c r="Q824" s="77"/>
      <c r="R824" s="77"/>
      <c r="S824" s="77"/>
      <c r="T824" s="77"/>
      <c r="U824" s="77"/>
      <c r="V824" s="87"/>
      <c r="W824" s="87"/>
      <c r="X824" s="87"/>
      <c r="Y824" s="77"/>
      <c r="Z824" s="88"/>
      <c r="AA824" s="35"/>
      <c r="AB824" s="35"/>
    </row>
    <row r="825" spans="1:28" x14ac:dyDescent="0.25">
      <c r="A825" s="68" t="str">
        <f t="shared" si="39"/>
        <v>SAL344</v>
      </c>
      <c r="B825" s="10">
        <f t="shared" si="40"/>
        <v>26.138110000000001</v>
      </c>
      <c r="C825" s="77" t="s">
        <v>3457</v>
      </c>
      <c r="D825" s="191" t="str">
        <f t="shared" si="38"/>
        <v>StrongLumio vypínač kolébkový R13 230V 4A hnědá</v>
      </c>
      <c r="E825" s="77" t="s">
        <v>3458</v>
      </c>
      <c r="F825" s="77" t="s">
        <v>3459</v>
      </c>
      <c r="G825" s="77" t="s">
        <v>3461</v>
      </c>
      <c r="H825" s="77" t="s">
        <v>3460</v>
      </c>
      <c r="I825" s="77" t="s">
        <v>795</v>
      </c>
      <c r="J825" s="90">
        <v>1</v>
      </c>
      <c r="K825" s="91">
        <v>1</v>
      </c>
      <c r="L825" s="77" t="s">
        <v>227</v>
      </c>
      <c r="M825" s="78">
        <v>26.138110000000001</v>
      </c>
      <c r="N825" s="79">
        <v>1.1190599999999999</v>
      </c>
      <c r="O825" s="79">
        <v>3.6597599999999999</v>
      </c>
      <c r="P825" s="79">
        <v>377.22528</v>
      </c>
      <c r="Q825" s="77"/>
      <c r="R825" s="77"/>
      <c r="S825" s="77"/>
      <c r="T825" s="77"/>
      <c r="U825" s="77"/>
      <c r="V825" s="87"/>
      <c r="W825" s="87"/>
      <c r="X825" s="87"/>
      <c r="Y825" s="77"/>
      <c r="Z825" s="88"/>
      <c r="AA825" s="35"/>
      <c r="AB825" s="35"/>
    </row>
    <row r="826" spans="1:28" x14ac:dyDescent="0.25">
      <c r="A826" s="68" t="str">
        <f t="shared" si="39"/>
        <v>SAL343</v>
      </c>
      <c r="B826" s="10">
        <f t="shared" si="40"/>
        <v>26.138110000000001</v>
      </c>
      <c r="C826" s="77" t="s">
        <v>3462</v>
      </c>
      <c r="D826" s="191" t="str">
        <f t="shared" si="38"/>
        <v>StrongLumio vypínač kolébkový R13 230V 4A šedá</v>
      </c>
      <c r="E826" s="77" t="s">
        <v>3463</v>
      </c>
      <c r="F826" s="77" t="s">
        <v>3464</v>
      </c>
      <c r="G826" s="77" t="s">
        <v>3466</v>
      </c>
      <c r="H826" s="77" t="s">
        <v>3465</v>
      </c>
      <c r="I826" s="77" t="s">
        <v>795</v>
      </c>
      <c r="J826" s="90">
        <v>1</v>
      </c>
      <c r="K826" s="91">
        <v>1</v>
      </c>
      <c r="L826" s="77" t="s">
        <v>227</v>
      </c>
      <c r="M826" s="78">
        <v>26.138110000000001</v>
      </c>
      <c r="N826" s="79">
        <v>1.1190599999999999</v>
      </c>
      <c r="O826" s="79">
        <v>3.6597599999999999</v>
      </c>
      <c r="P826" s="79">
        <v>377.22528</v>
      </c>
      <c r="Q826" s="77"/>
      <c r="R826" s="77"/>
      <c r="S826" s="77"/>
      <c r="T826" s="77"/>
      <c r="U826" s="77"/>
      <c r="V826" s="87"/>
      <c r="W826" s="87"/>
      <c r="X826" s="87"/>
      <c r="Y826" s="77"/>
      <c r="Z826" s="88"/>
      <c r="AA826" s="35"/>
      <c r="AB826" s="35"/>
    </row>
    <row r="827" spans="1:28" x14ac:dyDescent="0.25">
      <c r="A827" s="68" t="str">
        <f t="shared" si="39"/>
        <v>342518</v>
      </c>
      <c r="B827" s="10">
        <f t="shared" si="40"/>
        <v>275.91269999999997</v>
      </c>
      <c r="C827" s="77" t="s">
        <v>5439</v>
      </c>
      <c r="D827" s="191" t="str">
        <f t="shared" si="38"/>
        <v>StrongLumio vypínač/dveřní senzor pro max. 3 čidla, 12-24V 8A</v>
      </c>
      <c r="E827" s="77" t="s">
        <v>3467</v>
      </c>
      <c r="F827" s="77" t="s">
        <v>3468</v>
      </c>
      <c r="G827" s="77" t="s">
        <v>3470</v>
      </c>
      <c r="H827" s="77" t="s">
        <v>3469</v>
      </c>
      <c r="I827" s="77" t="s">
        <v>795</v>
      </c>
      <c r="J827" s="90">
        <v>1</v>
      </c>
      <c r="K827" s="91">
        <v>1</v>
      </c>
      <c r="L827" s="77" t="s">
        <v>227</v>
      </c>
      <c r="M827" s="78">
        <v>275.91269999999997</v>
      </c>
      <c r="N827" s="79">
        <v>12.600239999999999</v>
      </c>
      <c r="O827" s="79">
        <v>39.013179999999998</v>
      </c>
      <c r="P827" s="79">
        <v>5265.8774999999996</v>
      </c>
      <c r="Q827" s="77"/>
      <c r="R827" s="77"/>
      <c r="S827" s="77"/>
      <c r="T827" s="77"/>
      <c r="U827" s="77"/>
      <c r="V827" s="87"/>
      <c r="W827" s="87"/>
      <c r="X827" s="87"/>
      <c r="Y827" s="77"/>
      <c r="Z827" s="88"/>
      <c r="AA827" s="35"/>
      <c r="AB827" s="35"/>
    </row>
    <row r="828" spans="1:28" x14ac:dyDescent="0.25">
      <c r="A828" s="68" t="str">
        <f t="shared" si="39"/>
        <v>492726</v>
      </c>
      <c r="B828" s="10">
        <f t="shared" si="40"/>
        <v>299.99970000000002</v>
      </c>
      <c r="C828" s="77" t="s">
        <v>5440</v>
      </c>
      <c r="D828" s="191" t="str">
        <f t="shared" si="38"/>
        <v>StrongLumio vypínač/stmívač - nízká hloubka - 12/24V - 3PIN černá</v>
      </c>
      <c r="E828" s="77" t="s">
        <v>3471</v>
      </c>
      <c r="F828" s="77" t="s">
        <v>3472</v>
      </c>
      <c r="G828" s="77" t="s">
        <v>3474</v>
      </c>
      <c r="H828" s="77" t="s">
        <v>3473</v>
      </c>
      <c r="I828" s="77" t="s">
        <v>795</v>
      </c>
      <c r="J828" s="90">
        <v>1</v>
      </c>
      <c r="K828" s="91">
        <v>1</v>
      </c>
      <c r="L828" s="77" t="s">
        <v>227</v>
      </c>
      <c r="M828" s="78">
        <v>299.99970000000002</v>
      </c>
      <c r="N828" s="79">
        <v>13.39822</v>
      </c>
      <c r="O828" s="79">
        <v>40.12715</v>
      </c>
      <c r="P828" s="79">
        <v>4646.3625000000002</v>
      </c>
      <c r="Q828" s="77"/>
      <c r="R828" s="77"/>
      <c r="S828" s="77"/>
      <c r="T828" s="77"/>
      <c r="U828" s="77"/>
      <c r="V828" s="87"/>
      <c r="W828" s="87"/>
      <c r="X828" s="87"/>
      <c r="Y828" s="77"/>
      <c r="Z828" s="88"/>
      <c r="AA828" s="35"/>
      <c r="AB828" s="35"/>
    </row>
    <row r="829" spans="1:28" x14ac:dyDescent="0.25">
      <c r="A829" s="68" t="str">
        <f t="shared" si="39"/>
        <v>484231</v>
      </c>
      <c r="B829" s="10">
        <f t="shared" si="40"/>
        <v>309.09059999999999</v>
      </c>
      <c r="C829" s="77" t="s">
        <v>5441</v>
      </c>
      <c r="D829" s="191" t="str">
        <f t="shared" si="38"/>
        <v>StrongLumio vypínač/stmívač 12-24V - 3PIN bílá</v>
      </c>
      <c r="E829" s="77" t="s">
        <v>3475</v>
      </c>
      <c r="F829" s="77" t="s">
        <v>3476</v>
      </c>
      <c r="G829" s="77" t="s">
        <v>3478</v>
      </c>
      <c r="H829" s="77" t="s">
        <v>3477</v>
      </c>
      <c r="I829" s="77" t="s">
        <v>795</v>
      </c>
      <c r="J829" s="90">
        <v>1</v>
      </c>
      <c r="K829" s="91">
        <v>1</v>
      </c>
      <c r="L829" s="77" t="s">
        <v>227</v>
      </c>
      <c r="M829" s="78">
        <v>309.09059999999999</v>
      </c>
      <c r="N829" s="79">
        <v>13.804220000000001</v>
      </c>
      <c r="O829" s="79">
        <v>41.396680000000003</v>
      </c>
      <c r="P829" s="79">
        <v>4787.1613500000003</v>
      </c>
      <c r="Q829" s="77"/>
      <c r="R829" s="77"/>
      <c r="S829" s="77"/>
      <c r="T829" s="77"/>
      <c r="U829" s="77"/>
      <c r="V829" s="87"/>
      <c r="W829" s="87"/>
      <c r="X829" s="87"/>
      <c r="Y829" s="77"/>
      <c r="Z829" s="88"/>
      <c r="AA829" s="35"/>
      <c r="AB829" s="35"/>
    </row>
    <row r="830" spans="1:28" x14ac:dyDescent="0.25">
      <c r="A830" s="68" t="str">
        <f t="shared" si="39"/>
        <v>484230</v>
      </c>
      <c r="B830" s="10">
        <f t="shared" si="40"/>
        <v>309.09059999999999</v>
      </c>
      <c r="C830" s="77" t="s">
        <v>5442</v>
      </c>
      <c r="D830" s="191" t="str">
        <f t="shared" si="38"/>
        <v>StrongLumio vypínač/stmívač 12-24V - 3PIN černá</v>
      </c>
      <c r="E830" s="77" t="s">
        <v>3479</v>
      </c>
      <c r="F830" s="77" t="s">
        <v>3480</v>
      </c>
      <c r="G830" s="77" t="s">
        <v>3482</v>
      </c>
      <c r="H830" s="77" t="s">
        <v>3481</v>
      </c>
      <c r="I830" s="77" t="s">
        <v>795</v>
      </c>
      <c r="J830" s="90">
        <v>1</v>
      </c>
      <c r="K830" s="91">
        <v>1</v>
      </c>
      <c r="L830" s="77" t="s">
        <v>227</v>
      </c>
      <c r="M830" s="78">
        <v>309.09059999999999</v>
      </c>
      <c r="N830" s="79">
        <v>13.804220000000001</v>
      </c>
      <c r="O830" s="79">
        <v>45.507980000000003</v>
      </c>
      <c r="P830" s="79">
        <v>4787.1613500000003</v>
      </c>
      <c r="Q830" s="77"/>
      <c r="R830" s="77"/>
      <c r="S830" s="77"/>
      <c r="T830" s="77"/>
      <c r="U830" s="77"/>
      <c r="V830" s="87"/>
      <c r="W830" s="87"/>
      <c r="X830" s="87"/>
      <c r="Y830" s="77"/>
      <c r="Z830" s="88"/>
      <c r="AA830" s="35"/>
      <c r="AB830" s="35"/>
    </row>
    <row r="831" spans="1:28" x14ac:dyDescent="0.25">
      <c r="A831" s="68" t="str">
        <f t="shared" si="39"/>
        <v>484232</v>
      </c>
      <c r="B831" s="10">
        <f t="shared" si="40"/>
        <v>331.81785000000002</v>
      </c>
      <c r="C831" s="77" t="s">
        <v>5443</v>
      </c>
      <c r="D831" s="191" t="str">
        <f t="shared" si="38"/>
        <v>StrongLumio vypínač/stmívač 12-24V - 3PIN, s podsvícením stříbrná</v>
      </c>
      <c r="E831" s="77" t="s">
        <v>3483</v>
      </c>
      <c r="F831" s="77" t="s">
        <v>3484</v>
      </c>
      <c r="G831" s="77" t="s">
        <v>3486</v>
      </c>
      <c r="H831" s="77" t="s">
        <v>3485</v>
      </c>
      <c r="I831" s="77" t="s">
        <v>795</v>
      </c>
      <c r="J831" s="90">
        <v>1</v>
      </c>
      <c r="K831" s="91">
        <v>1</v>
      </c>
      <c r="L831" s="77" t="s">
        <v>227</v>
      </c>
      <c r="M831" s="78">
        <v>331.81785000000002</v>
      </c>
      <c r="N831" s="79">
        <v>14.819240000000001</v>
      </c>
      <c r="O831" s="79">
        <v>43.167960000000001</v>
      </c>
      <c r="P831" s="79">
        <v>5139.1585100000002</v>
      </c>
      <c r="Q831" s="77"/>
      <c r="R831" s="77"/>
      <c r="S831" s="77"/>
      <c r="T831" s="77"/>
      <c r="U831" s="77"/>
      <c r="V831" s="87"/>
      <c r="W831" s="87"/>
      <c r="X831" s="87"/>
      <c r="Y831" s="77"/>
      <c r="Z831" s="88"/>
      <c r="AA831" s="35"/>
      <c r="AB831" s="35"/>
    </row>
    <row r="832" spans="1:28" x14ac:dyDescent="0.25">
      <c r="A832" s="68" t="str">
        <f t="shared" si="39"/>
        <v>342517</v>
      </c>
      <c r="B832" s="10">
        <f t="shared" si="40"/>
        <v>247.08600000000001</v>
      </c>
      <c r="C832" s="77" t="s">
        <v>5444</v>
      </c>
      <c r="D832" s="191" t="str">
        <f t="shared" si="38"/>
        <v>StrongLumio zafrézovací vypínač/stmívač 12-24V 4A konektory Mini, bílá</v>
      </c>
      <c r="E832" s="77" t="s">
        <v>6526</v>
      </c>
      <c r="F832" s="77" t="s">
        <v>3487</v>
      </c>
      <c r="G832" s="77" t="s">
        <v>3489</v>
      </c>
      <c r="H832" s="77" t="s">
        <v>3488</v>
      </c>
      <c r="I832" s="77" t="s">
        <v>795</v>
      </c>
      <c r="J832" s="90">
        <v>1</v>
      </c>
      <c r="K832" s="91">
        <v>1</v>
      </c>
      <c r="L832" s="77" t="s">
        <v>227</v>
      </c>
      <c r="M832" s="78">
        <v>247.08600000000001</v>
      </c>
      <c r="N832" s="79">
        <v>11.28382</v>
      </c>
      <c r="O832" s="79">
        <v>35.79607</v>
      </c>
      <c r="P832" s="79">
        <v>4787.1613500000003</v>
      </c>
      <c r="Q832" s="77"/>
      <c r="R832" s="77"/>
      <c r="S832" s="77"/>
      <c r="T832" s="77"/>
      <c r="U832" s="77"/>
      <c r="V832" s="87"/>
      <c r="W832" s="87"/>
      <c r="X832" s="87"/>
      <c r="Y832" s="77"/>
      <c r="Z832" s="88"/>
      <c r="AA832" s="35"/>
      <c r="AB832" s="35"/>
    </row>
    <row r="833" spans="1:28" x14ac:dyDescent="0.25">
      <c r="A833" s="68" t="str">
        <f t="shared" si="39"/>
        <v>342516</v>
      </c>
      <c r="B833" s="10">
        <f t="shared" si="40"/>
        <v>247.08600000000001</v>
      </c>
      <c r="C833" s="77" t="s">
        <v>5445</v>
      </c>
      <c r="D833" s="191" t="str">
        <f t="shared" si="38"/>
        <v>StrongLumio zafrézovací vypínač/stmívač 12-24V 4A konektory Mini, černá</v>
      </c>
      <c r="E833" s="77" t="s">
        <v>6527</v>
      </c>
      <c r="F833" s="77" t="s">
        <v>3490</v>
      </c>
      <c r="G833" s="77" t="s">
        <v>3492</v>
      </c>
      <c r="H833" s="77" t="s">
        <v>3491</v>
      </c>
      <c r="I833" s="77" t="s">
        <v>795</v>
      </c>
      <c r="J833" s="90">
        <v>1</v>
      </c>
      <c r="K833" s="91">
        <v>1</v>
      </c>
      <c r="L833" s="77" t="s">
        <v>227</v>
      </c>
      <c r="M833" s="78">
        <v>247.08600000000001</v>
      </c>
      <c r="N833" s="79">
        <v>11.28382</v>
      </c>
      <c r="O833" s="79">
        <v>38.315190000000001</v>
      </c>
      <c r="P833" s="79">
        <v>4787.1613500000003</v>
      </c>
      <c r="Q833" s="77"/>
      <c r="R833" s="77"/>
      <c r="S833" s="77"/>
      <c r="T833" s="77"/>
      <c r="U833" s="77"/>
      <c r="V833" s="87"/>
      <c r="W833" s="87"/>
      <c r="X833" s="87"/>
      <c r="Y833" s="77"/>
      <c r="Z833" s="88"/>
      <c r="AA833" s="35"/>
      <c r="AB833" s="35"/>
    </row>
    <row r="834" spans="1:28" x14ac:dyDescent="0.25">
      <c r="A834" s="68" t="str">
        <f t="shared" si="39"/>
        <v>405197</v>
      </c>
      <c r="B834" s="10">
        <f t="shared" si="40"/>
        <v>275.91269999999997</v>
      </c>
      <c r="C834" s="77" t="s">
        <v>5446</v>
      </c>
      <c r="D834" s="191" t="str">
        <f t="shared" si="38"/>
        <v>StrongLumio zafrézovací vypínač/stmívač 12-24V, 4A konektory Mini, stříbrná</v>
      </c>
      <c r="E834" s="77" t="s">
        <v>6528</v>
      </c>
      <c r="F834" s="77" t="s">
        <v>3493</v>
      </c>
      <c r="G834" s="77" t="s">
        <v>3495</v>
      </c>
      <c r="H834" s="77" t="s">
        <v>3494</v>
      </c>
      <c r="I834" s="77" t="s">
        <v>795</v>
      </c>
      <c r="J834" s="90">
        <v>1</v>
      </c>
      <c r="K834" s="91">
        <v>1</v>
      </c>
      <c r="L834" s="77" t="s">
        <v>227</v>
      </c>
      <c r="M834" s="78">
        <v>275.91269999999997</v>
      </c>
      <c r="N834" s="79">
        <v>12.600239999999999</v>
      </c>
      <c r="O834" s="79">
        <v>39.602449999999997</v>
      </c>
      <c r="P834" s="79">
        <v>5139.1585100000002</v>
      </c>
      <c r="Q834" s="77"/>
      <c r="R834" s="77"/>
      <c r="S834" s="77"/>
      <c r="T834" s="77"/>
      <c r="U834" s="77"/>
      <c r="V834" s="87"/>
      <c r="W834" s="87"/>
      <c r="X834" s="87"/>
      <c r="Y834" s="77"/>
      <c r="Z834" s="88"/>
      <c r="AA834" s="35"/>
      <c r="AB834" s="35"/>
    </row>
    <row r="835" spans="1:28" x14ac:dyDescent="0.25">
      <c r="A835" s="68" t="str">
        <f t="shared" si="39"/>
        <v>551047</v>
      </c>
      <c r="B835" s="10">
        <f t="shared" si="40"/>
        <v>552.51202000000001</v>
      </c>
      <c r="C835" s="77" t="s">
        <v>5447</v>
      </c>
      <c r="D835" s="191" t="str">
        <f t="shared" ref="D835:D898" si="41">IF($B$1=1,E835,IF($B$1=2,F835,IF($B$1=3,G835,IF($B$1=4,H835))))</f>
        <v>StrongLumio závěsná lanka k profilům Maglyte, černá</v>
      </c>
      <c r="E835" s="77" t="s">
        <v>3496</v>
      </c>
      <c r="F835" s="77" t="s">
        <v>3497</v>
      </c>
      <c r="G835" s="77" t="s">
        <v>3499</v>
      </c>
      <c r="H835" s="77" t="s">
        <v>3498</v>
      </c>
      <c r="I835" s="77" t="s">
        <v>889</v>
      </c>
      <c r="J835" s="90">
        <v>10</v>
      </c>
      <c r="K835" s="91">
        <v>1</v>
      </c>
      <c r="L835" s="77" t="s">
        <v>227</v>
      </c>
      <c r="M835" s="78">
        <v>552.51202000000001</v>
      </c>
      <c r="N835" s="79">
        <v>21.64573</v>
      </c>
      <c r="O835" s="79">
        <v>54.314689999999999</v>
      </c>
      <c r="P835" s="79">
        <v>7756.5141400000002</v>
      </c>
      <c r="Q835" s="77"/>
      <c r="R835" s="77"/>
      <c r="S835" s="77"/>
      <c r="T835" s="77"/>
      <c r="U835" s="77"/>
      <c r="V835" s="87"/>
      <c r="W835" s="87"/>
      <c r="X835" s="87"/>
      <c r="Y835" s="77"/>
      <c r="Z835" s="88"/>
      <c r="AA835" s="35"/>
      <c r="AB835" s="35"/>
    </row>
    <row r="836" spans="1:28" x14ac:dyDescent="0.25">
      <c r="A836" s="68" t="str">
        <f t="shared" si="39"/>
        <v>551046</v>
      </c>
      <c r="B836" s="10">
        <f t="shared" si="40"/>
        <v>552.51202000000001</v>
      </c>
      <c r="C836" s="77" t="s">
        <v>5448</v>
      </c>
      <c r="D836" s="191" t="str">
        <f t="shared" si="41"/>
        <v>StrongLumio závěsná lanka k profilům Maglyte, stříbrná</v>
      </c>
      <c r="E836" s="77" t="s">
        <v>3500</v>
      </c>
      <c r="F836" s="77" t="s">
        <v>3501</v>
      </c>
      <c r="G836" s="77" t="s">
        <v>3502</v>
      </c>
      <c r="H836" s="77" t="s">
        <v>6529</v>
      </c>
      <c r="I836" s="77" t="s">
        <v>889</v>
      </c>
      <c r="J836" s="90">
        <v>1</v>
      </c>
      <c r="K836" s="91">
        <v>1</v>
      </c>
      <c r="L836" s="77" t="s">
        <v>227</v>
      </c>
      <c r="M836" s="78">
        <v>552.51202000000001</v>
      </c>
      <c r="N836" s="79">
        <v>21.64573</v>
      </c>
      <c r="O836" s="79">
        <v>54.314689999999999</v>
      </c>
      <c r="P836" s="79">
        <v>7756.5141400000002</v>
      </c>
      <c r="Q836" s="77"/>
      <c r="R836" s="77"/>
      <c r="S836" s="77"/>
      <c r="T836" s="77"/>
      <c r="U836" s="77"/>
      <c r="V836" s="87"/>
      <c r="W836" s="87"/>
      <c r="X836" s="87"/>
      <c r="Y836" s="77"/>
      <c r="Z836" s="88"/>
      <c r="AA836" s="35"/>
      <c r="AB836" s="35"/>
    </row>
    <row r="837" spans="1:28" x14ac:dyDescent="0.25">
      <c r="A837" s="68" t="str">
        <f t="shared" si="39"/>
        <v>506930</v>
      </c>
      <c r="B837" s="10">
        <f t="shared" si="40"/>
        <v>493.96409999999997</v>
      </c>
      <c r="C837" s="77" t="s">
        <v>5449</v>
      </c>
      <c r="D837" s="191" t="str">
        <f t="shared" si="41"/>
        <v>StrongLumio závěsné lanko 1500mm chrom</v>
      </c>
      <c r="E837" s="77" t="s">
        <v>3503</v>
      </c>
      <c r="F837" s="77" t="s">
        <v>3504</v>
      </c>
      <c r="G837" s="77" t="s">
        <v>3505</v>
      </c>
      <c r="H837" s="77" t="s">
        <v>794</v>
      </c>
      <c r="I837" s="77" t="s">
        <v>889</v>
      </c>
      <c r="J837" s="90">
        <v>10</v>
      </c>
      <c r="K837" s="91">
        <v>1</v>
      </c>
      <c r="L837" s="77" t="s">
        <v>6565</v>
      </c>
      <c r="M837" s="78">
        <v>493.96409999999997</v>
      </c>
      <c r="N837" s="79">
        <v>19.47221</v>
      </c>
      <c r="O837" s="79">
        <v>53.331049999999998</v>
      </c>
      <c r="P837" s="79">
        <v>7000.6249900000003</v>
      </c>
      <c r="Q837" s="77"/>
      <c r="R837" s="77"/>
      <c r="S837" s="77"/>
      <c r="T837" s="77"/>
      <c r="U837" s="77"/>
      <c r="V837" s="87"/>
      <c r="W837" s="87"/>
      <c r="X837" s="87"/>
      <c r="Y837" s="77"/>
      <c r="Z837" s="88"/>
      <c r="AA837" s="35"/>
      <c r="AB837" s="35"/>
    </row>
    <row r="838" spans="1:28" x14ac:dyDescent="0.25">
      <c r="A838" s="68" t="str">
        <f t="shared" si="39"/>
        <v>405959</v>
      </c>
      <c r="B838" s="10">
        <f t="shared" si="40"/>
        <v>310.83476999999999</v>
      </c>
      <c r="C838" s="77" t="s">
        <v>5450</v>
      </c>
      <c r="D838" s="191" t="str">
        <f t="shared" si="41"/>
        <v>TL- UV LED pásek 14,4W/m, 12V 10mm  original UV čip</v>
      </c>
      <c r="E838" s="77" t="s">
        <v>3506</v>
      </c>
      <c r="F838" s="77" t="s">
        <v>3507</v>
      </c>
      <c r="G838" s="77" t="s">
        <v>794</v>
      </c>
      <c r="H838" s="77" t="s">
        <v>3508</v>
      </c>
      <c r="I838" s="77" t="s">
        <v>992</v>
      </c>
      <c r="J838" s="90">
        <v>5</v>
      </c>
      <c r="K838" s="91">
        <v>1</v>
      </c>
      <c r="L838" s="77" t="s">
        <v>6565</v>
      </c>
      <c r="M838" s="78">
        <v>310.83476999999999</v>
      </c>
      <c r="N838" s="79">
        <v>13.248699999999999</v>
      </c>
      <c r="O838" s="79">
        <v>40.368160000000003</v>
      </c>
      <c r="P838" s="79">
        <v>4709.6177200000002</v>
      </c>
      <c r="Q838" s="77"/>
      <c r="R838" s="77"/>
      <c r="S838" s="77"/>
      <c r="T838" s="77"/>
      <c r="U838" s="77"/>
      <c r="V838" s="87"/>
      <c r="W838" s="87"/>
      <c r="X838" s="87"/>
      <c r="Y838" s="77"/>
      <c r="Z838" s="88"/>
      <c r="AA838" s="35"/>
      <c r="AB838" s="35"/>
    </row>
    <row r="839" spans="1:28" x14ac:dyDescent="0.25">
      <c r="A839" s="68" t="str">
        <f t="shared" si="39"/>
        <v>367817</v>
      </c>
      <c r="B839" s="10">
        <f t="shared" si="40"/>
        <v>577.93398000000002</v>
      </c>
      <c r="C839" s="77" t="s">
        <v>5451</v>
      </c>
      <c r="D839" s="191" t="str">
        <f t="shared" si="41"/>
        <v>TL-dálkový CCT ROUND LED ovladač</v>
      </c>
      <c r="E839" s="77" t="s">
        <v>3509</v>
      </c>
      <c r="F839" s="77" t="s">
        <v>3510</v>
      </c>
      <c r="G839" s="77" t="s">
        <v>794</v>
      </c>
      <c r="H839" s="77" t="s">
        <v>3511</v>
      </c>
      <c r="I839" s="77" t="s">
        <v>795</v>
      </c>
      <c r="J839" s="90">
        <v>1</v>
      </c>
      <c r="K839" s="91">
        <v>1</v>
      </c>
      <c r="L839" s="77" t="s">
        <v>6565</v>
      </c>
      <c r="M839" s="78">
        <v>577.93398000000002</v>
      </c>
      <c r="N839" s="79">
        <v>24.63325</v>
      </c>
      <c r="O839" s="79">
        <v>75.056359999999998</v>
      </c>
      <c r="P839" s="79">
        <v>8756.57546</v>
      </c>
      <c r="Q839" s="77"/>
      <c r="R839" s="77"/>
      <c r="S839" s="77"/>
      <c r="T839" s="77"/>
      <c r="U839" s="77"/>
      <c r="V839" s="87"/>
      <c r="W839" s="87"/>
      <c r="X839" s="87"/>
      <c r="Y839" s="77"/>
      <c r="Z839" s="88"/>
      <c r="AA839" s="35"/>
      <c r="AB839" s="35"/>
    </row>
    <row r="840" spans="1:28" x14ac:dyDescent="0.25">
      <c r="A840" s="68" t="str">
        <f t="shared" si="39"/>
        <v>420157</v>
      </c>
      <c r="B840" s="10">
        <f t="shared" si="40"/>
        <v>593.55386999999996</v>
      </c>
      <c r="C840" s="77" t="s">
        <v>5452</v>
      </c>
      <c r="D840" s="191" t="str">
        <f t="shared" si="41"/>
        <v>TL-dálkový ovládač dimLED OVL 4KL</v>
      </c>
      <c r="E840" s="77" t="s">
        <v>3512</v>
      </c>
      <c r="F840" s="77" t="s">
        <v>3513</v>
      </c>
      <c r="G840" s="77" t="s">
        <v>3515</v>
      </c>
      <c r="H840" s="77" t="s">
        <v>3514</v>
      </c>
      <c r="I840" s="77" t="s">
        <v>795</v>
      </c>
      <c r="J840" s="90">
        <v>1</v>
      </c>
      <c r="K840" s="91">
        <v>1</v>
      </c>
      <c r="L840" s="77" t="s">
        <v>6565</v>
      </c>
      <c r="M840" s="78">
        <v>593.55386999999996</v>
      </c>
      <c r="N840" s="79">
        <v>25.299009999999999</v>
      </c>
      <c r="O840" s="79">
        <v>77.084919999999997</v>
      </c>
      <c r="P840" s="79">
        <v>8993.2404499999993</v>
      </c>
      <c r="Q840" s="77"/>
      <c r="R840" s="77"/>
      <c r="S840" s="77"/>
      <c r="T840" s="77"/>
      <c r="U840" s="77"/>
      <c r="V840" s="87"/>
      <c r="W840" s="87"/>
      <c r="X840" s="87"/>
      <c r="Y840" s="77"/>
      <c r="Z840" s="88"/>
      <c r="AA840" s="35"/>
      <c r="AB840" s="35"/>
    </row>
    <row r="841" spans="1:28" x14ac:dyDescent="0.25">
      <c r="A841" s="68" t="str">
        <f t="shared" si="39"/>
        <v>359916</v>
      </c>
      <c r="B841" s="10">
        <f t="shared" si="40"/>
        <v>577.93398000000002</v>
      </c>
      <c r="C841" s="77" t="s">
        <v>5453</v>
      </c>
      <c r="D841" s="191" t="str">
        <f t="shared" si="41"/>
        <v>TL-dálkový ovladač dimLED OVS 4KR</v>
      </c>
      <c r="E841" s="77" t="s">
        <v>3516</v>
      </c>
      <c r="F841" s="77" t="s">
        <v>3517</v>
      </c>
      <c r="G841" s="77" t="s">
        <v>3519</v>
      </c>
      <c r="H841" s="77" t="s">
        <v>3518</v>
      </c>
      <c r="I841" s="77" t="s">
        <v>795</v>
      </c>
      <c r="J841" s="90">
        <v>1</v>
      </c>
      <c r="K841" s="91">
        <v>1</v>
      </c>
      <c r="L841" s="77" t="s">
        <v>227</v>
      </c>
      <c r="M841" s="78">
        <v>577.93398000000002</v>
      </c>
      <c r="N841" s="79">
        <v>24.63325</v>
      </c>
      <c r="O841" s="79">
        <v>75.056359999999998</v>
      </c>
      <c r="P841" s="79">
        <v>8756.57546</v>
      </c>
      <c r="Q841" s="77"/>
      <c r="R841" s="77"/>
      <c r="S841" s="77"/>
      <c r="T841" s="77"/>
      <c r="U841" s="77"/>
      <c r="V841" s="87"/>
      <c r="W841" s="87"/>
      <c r="X841" s="87"/>
      <c r="Y841" s="77"/>
      <c r="Z841" s="88"/>
      <c r="AA841" s="35"/>
      <c r="AB841" s="35"/>
    </row>
    <row r="842" spans="1:28" x14ac:dyDescent="0.25">
      <c r="A842" s="68" t="str">
        <f t="shared" si="39"/>
        <v>360649</v>
      </c>
      <c r="B842" s="10">
        <f t="shared" si="40"/>
        <v>609.17345999999998</v>
      </c>
      <c r="C842" s="77" t="s">
        <v>5454</v>
      </c>
      <c r="D842" s="191" t="str">
        <f t="shared" si="41"/>
        <v>TL-dálkový RF ovladač RGB dimLED 4kanálový</v>
      </c>
      <c r="E842" s="77" t="s">
        <v>3520</v>
      </c>
      <c r="F842" s="77" t="s">
        <v>3521</v>
      </c>
      <c r="G842" s="77" t="s">
        <v>3523</v>
      </c>
      <c r="H842" s="77" t="s">
        <v>3522</v>
      </c>
      <c r="I842" s="77" t="s">
        <v>795</v>
      </c>
      <c r="J842" s="90">
        <v>1</v>
      </c>
      <c r="K842" s="91">
        <v>1</v>
      </c>
      <c r="L842" s="77" t="s">
        <v>6565</v>
      </c>
      <c r="M842" s="78">
        <v>609.17345999999998</v>
      </c>
      <c r="N842" s="79">
        <v>25.964759999999998</v>
      </c>
      <c r="O842" s="79">
        <v>80.978840000000005</v>
      </c>
      <c r="P842" s="79">
        <v>9229.9009000000005</v>
      </c>
      <c r="Q842" s="77"/>
      <c r="R842" s="77"/>
      <c r="S842" s="77"/>
      <c r="T842" s="77"/>
      <c r="U842" s="77"/>
      <c r="V842" s="87"/>
      <c r="W842" s="87"/>
      <c r="X842" s="87"/>
      <c r="Y842" s="77"/>
      <c r="Z842" s="88"/>
      <c r="AA842" s="35"/>
      <c r="AB842" s="35"/>
    </row>
    <row r="843" spans="1:28" x14ac:dyDescent="0.25">
      <c r="A843" s="68" t="str">
        <f t="shared" si="39"/>
        <v>460878</v>
      </c>
      <c r="B843" s="10">
        <f t="shared" si="40"/>
        <v>203.04900000000001</v>
      </c>
      <c r="C843" s="77" t="s">
        <v>5455</v>
      </c>
      <c r="D843" s="191" t="str">
        <f t="shared" si="41"/>
        <v>TL-dálkový RF ovladač RGB LED</v>
      </c>
      <c r="E843" s="77" t="s">
        <v>3524</v>
      </c>
      <c r="F843" s="77" t="s">
        <v>3525</v>
      </c>
      <c r="G843" s="77" t="s">
        <v>794</v>
      </c>
      <c r="H843" s="77" t="s">
        <v>3526</v>
      </c>
      <c r="I843" s="77" t="s">
        <v>795</v>
      </c>
      <c r="J843" s="90">
        <v>1</v>
      </c>
      <c r="K843" s="91">
        <v>1</v>
      </c>
      <c r="L843" s="77" t="s">
        <v>6565</v>
      </c>
      <c r="M843" s="78">
        <v>203.04900000000001</v>
      </c>
      <c r="N843" s="79">
        <v>8.6545500000000004</v>
      </c>
      <c r="O843" s="79">
        <v>26.37</v>
      </c>
      <c r="P843" s="79">
        <v>3076.5</v>
      </c>
      <c r="Q843" s="77"/>
      <c r="R843" s="77"/>
      <c r="S843" s="77"/>
      <c r="T843" s="77"/>
      <c r="U843" s="77"/>
      <c r="V843" s="87"/>
      <c r="W843" s="87"/>
      <c r="X843" s="87"/>
      <c r="Y843" s="77"/>
      <c r="Z843" s="88"/>
      <c r="AA843" s="35"/>
      <c r="AB843" s="35"/>
    </row>
    <row r="844" spans="1:28" x14ac:dyDescent="0.25">
      <c r="A844" s="68" t="str">
        <f t="shared" si="39"/>
        <v>299726</v>
      </c>
      <c r="B844" s="10">
        <f t="shared" si="40"/>
        <v>623.23127999999997</v>
      </c>
      <c r="C844" s="77" t="s">
        <v>5456</v>
      </c>
      <c r="D844" s="191" t="str">
        <f t="shared" si="41"/>
        <v>TL-dálkový RF ovladač RGB LED 1kanál.</v>
      </c>
      <c r="E844" s="77" t="s">
        <v>3527</v>
      </c>
      <c r="F844" s="77" t="s">
        <v>3528</v>
      </c>
      <c r="G844" s="77" t="s">
        <v>3530</v>
      </c>
      <c r="H844" s="77" t="s">
        <v>3529</v>
      </c>
      <c r="I844" s="77" t="s">
        <v>795</v>
      </c>
      <c r="J844" s="90">
        <v>1</v>
      </c>
      <c r="K844" s="91">
        <v>1</v>
      </c>
      <c r="L844" s="77" t="s">
        <v>6565</v>
      </c>
      <c r="M844" s="78">
        <v>623.23127999999997</v>
      </c>
      <c r="N844" s="79">
        <v>26.563960000000002</v>
      </c>
      <c r="O844" s="79">
        <v>80.939120000000003</v>
      </c>
      <c r="P844" s="79">
        <v>9442.8981899999999</v>
      </c>
      <c r="Q844" s="77"/>
      <c r="R844" s="77"/>
      <c r="S844" s="77"/>
      <c r="T844" s="77"/>
      <c r="U844" s="77"/>
      <c r="V844" s="87"/>
      <c r="W844" s="87"/>
      <c r="X844" s="87"/>
      <c r="Y844" s="77"/>
      <c r="Z844" s="88"/>
      <c r="AA844" s="35"/>
      <c r="AB844" s="35"/>
    </row>
    <row r="845" spans="1:28" x14ac:dyDescent="0.25">
      <c r="A845" s="68" t="str">
        <f t="shared" si="39"/>
        <v>378068</v>
      </c>
      <c r="B845" s="10">
        <f t="shared" si="40"/>
        <v>1091.82654</v>
      </c>
      <c r="C845" s="77" t="s">
        <v>5457</v>
      </c>
      <c r="D845" s="191" t="str">
        <f t="shared" si="41"/>
        <v>TL-dálkový RF ovladač RGBW dimLED 8kanálový</v>
      </c>
      <c r="E845" s="77" t="s">
        <v>3531</v>
      </c>
      <c r="F845" s="77" t="s">
        <v>3532</v>
      </c>
      <c r="G845" s="77" t="s">
        <v>3534</v>
      </c>
      <c r="H845" s="77" t="s">
        <v>3533</v>
      </c>
      <c r="I845" s="77" t="s">
        <v>795</v>
      </c>
      <c r="J845" s="90">
        <v>1</v>
      </c>
      <c r="K845" s="91">
        <v>1</v>
      </c>
      <c r="L845" s="77" t="s">
        <v>227</v>
      </c>
      <c r="M845" s="78">
        <v>1091.82654</v>
      </c>
      <c r="N845" s="79">
        <v>46.53687</v>
      </c>
      <c r="O845" s="79">
        <v>141.79566</v>
      </c>
      <c r="P845" s="79">
        <v>16542.826359999999</v>
      </c>
      <c r="Q845" s="77"/>
      <c r="R845" s="77"/>
      <c r="S845" s="77"/>
      <c r="T845" s="77"/>
      <c r="U845" s="77"/>
      <c r="V845" s="87"/>
      <c r="W845" s="87"/>
      <c r="X845" s="87"/>
      <c r="Y845" s="77"/>
      <c r="Z845" s="88"/>
      <c r="AA845" s="35"/>
      <c r="AB845" s="35"/>
    </row>
    <row r="846" spans="1:28" x14ac:dyDescent="0.25">
      <c r="A846" s="68" t="str">
        <f t="shared" si="39"/>
        <v>383234</v>
      </c>
      <c r="B846" s="10">
        <f t="shared" si="40"/>
        <v>302.89454999999998</v>
      </c>
      <c r="C846" s="77" t="s">
        <v>5458</v>
      </c>
      <c r="D846" s="191" t="str">
        <f t="shared" si="41"/>
        <v>TL-dálkový RF ovladač stmívač - klíčenka</v>
      </c>
      <c r="E846" s="77" t="s">
        <v>3535</v>
      </c>
      <c r="F846" s="77" t="s">
        <v>3536</v>
      </c>
      <c r="G846" s="77" t="s">
        <v>3538</v>
      </c>
      <c r="H846" s="77" t="s">
        <v>3537</v>
      </c>
      <c r="I846" s="77" t="s">
        <v>795</v>
      </c>
      <c r="J846" s="90">
        <v>1</v>
      </c>
      <c r="K846" s="91">
        <v>1</v>
      </c>
      <c r="L846" s="77" t="s">
        <v>6565</v>
      </c>
      <c r="M846" s="78">
        <v>302.89454999999998</v>
      </c>
      <c r="N846" s="79">
        <v>12.625679999999999</v>
      </c>
      <c r="O846" s="79">
        <v>36.310920000000003</v>
      </c>
      <c r="P846" s="79">
        <v>4589.3113599999997</v>
      </c>
      <c r="Q846" s="77"/>
      <c r="R846" s="77"/>
      <c r="S846" s="77"/>
      <c r="T846" s="77"/>
      <c r="U846" s="77"/>
      <c r="V846" s="87"/>
      <c r="W846" s="87"/>
      <c r="X846" s="87"/>
      <c r="Y846" s="77"/>
      <c r="Z846" s="88"/>
      <c r="AA846" s="35"/>
      <c r="AB846" s="35"/>
    </row>
    <row r="847" spans="1:28" x14ac:dyDescent="0.25">
      <c r="A847" s="68" t="str">
        <f t="shared" si="39"/>
        <v>535382</v>
      </c>
      <c r="B847" s="10">
        <f t="shared" si="40"/>
        <v>39.06</v>
      </c>
      <c r="C847" s="77" t="s">
        <v>5459</v>
      </c>
      <c r="D847" s="191" t="str">
        <f t="shared" si="41"/>
        <v>TL-DC rozbočovač, 2x výstup</v>
      </c>
      <c r="E847" s="77" t="s">
        <v>3539</v>
      </c>
      <c r="F847" s="77" t="s">
        <v>3539</v>
      </c>
      <c r="G847" s="77" t="s">
        <v>3541</v>
      </c>
      <c r="H847" s="77" t="s">
        <v>3540</v>
      </c>
      <c r="I847" s="77" t="s">
        <v>795</v>
      </c>
      <c r="J847" s="90">
        <v>100</v>
      </c>
      <c r="K847" s="91">
        <v>1</v>
      </c>
      <c r="L847" s="77" t="s">
        <v>6565</v>
      </c>
      <c r="M847" s="78">
        <v>39.06</v>
      </c>
      <c r="N847" s="79">
        <v>1.6648499999999999</v>
      </c>
      <c r="O847" s="79">
        <v>5.0727200000000003</v>
      </c>
      <c r="P847" s="79">
        <v>591.81818999999996</v>
      </c>
      <c r="Q847" s="77"/>
      <c r="R847" s="77"/>
      <c r="S847" s="77"/>
      <c r="T847" s="77"/>
      <c r="U847" s="77"/>
      <c r="V847" s="87"/>
      <c r="W847" s="87"/>
      <c r="X847" s="87"/>
      <c r="Y847" s="77"/>
      <c r="Z847" s="88"/>
      <c r="AA847" s="35"/>
      <c r="AB847" s="35"/>
    </row>
    <row r="848" spans="1:28" x14ac:dyDescent="0.25">
      <c r="A848" s="68" t="str">
        <f t="shared" si="39"/>
        <v>543010</v>
      </c>
      <c r="B848" s="10">
        <f t="shared" si="40"/>
        <v>4.6935000000000002</v>
      </c>
      <c r="C848" s="77" t="s">
        <v>5460</v>
      </c>
      <c r="D848" s="191" t="str">
        <f t="shared" si="41"/>
        <v>TL-Koncovka LED pásku 12/24V IP68</v>
      </c>
      <c r="E848" s="77" t="s">
        <v>3542</v>
      </c>
      <c r="F848" s="77" t="s">
        <v>3543</v>
      </c>
      <c r="G848" s="77" t="s">
        <v>3544</v>
      </c>
      <c r="H848" s="77" t="s">
        <v>6530</v>
      </c>
      <c r="I848" s="77" t="s">
        <v>795</v>
      </c>
      <c r="J848" s="90">
        <v>1</v>
      </c>
      <c r="K848" s="91">
        <v>1</v>
      </c>
      <c r="L848" s="77" t="s">
        <v>6565</v>
      </c>
      <c r="M848" s="78">
        <v>4.6935000000000002</v>
      </c>
      <c r="N848" s="79">
        <v>0.20005999999999999</v>
      </c>
      <c r="O848" s="79">
        <v>0.62392000000000003</v>
      </c>
      <c r="P848" s="79">
        <v>0</v>
      </c>
      <c r="Q848" s="77"/>
      <c r="R848" s="77"/>
      <c r="S848" s="77"/>
      <c r="T848" s="77"/>
      <c r="U848" s="77"/>
      <c r="V848" s="87"/>
      <c r="W848" s="87"/>
      <c r="X848" s="87"/>
      <c r="Y848" s="77"/>
      <c r="Z848" s="88"/>
      <c r="AA848" s="35"/>
      <c r="AB848" s="35"/>
    </row>
    <row r="849" spans="1:28" x14ac:dyDescent="0.25">
      <c r="A849" s="68" t="str">
        <f t="shared" si="39"/>
        <v>379836</v>
      </c>
      <c r="B849" s="10">
        <f t="shared" si="40"/>
        <v>187.43792999999999</v>
      </c>
      <c r="C849" s="77" t="s">
        <v>5050</v>
      </c>
      <c r="D849" s="191" t="str">
        <f t="shared" si="41"/>
        <v>TL-LED pásek 12V 9,6W/m (120 LED/m) 8mm, extra bílá teplá</v>
      </c>
      <c r="E849" s="77" t="s">
        <v>6531</v>
      </c>
      <c r="F849" s="77" t="s">
        <v>6532</v>
      </c>
      <c r="G849" s="77" t="s">
        <v>6534</v>
      </c>
      <c r="H849" s="77" t="s">
        <v>6533</v>
      </c>
      <c r="I849" s="77" t="s">
        <v>992</v>
      </c>
      <c r="J849" s="90">
        <v>5</v>
      </c>
      <c r="K849" s="91">
        <v>1</v>
      </c>
      <c r="L849" s="77" t="s">
        <v>6565</v>
      </c>
      <c r="M849" s="78">
        <v>187.43792999999999</v>
      </c>
      <c r="N849" s="79">
        <v>7.98916</v>
      </c>
      <c r="O849" s="79">
        <v>24.342580000000002</v>
      </c>
      <c r="P849" s="79">
        <v>2839.9686299999998</v>
      </c>
      <c r="Q849" s="77"/>
      <c r="R849" s="77"/>
      <c r="S849" s="77"/>
      <c r="T849" s="77"/>
      <c r="U849" s="77"/>
      <c r="V849" s="87"/>
      <c r="W849" s="87"/>
      <c r="X849" s="87"/>
      <c r="Y849" s="77"/>
      <c r="Z849" s="88"/>
      <c r="AA849" s="35"/>
      <c r="AB849" s="35"/>
    </row>
    <row r="850" spans="1:28" x14ac:dyDescent="0.25">
      <c r="A850" s="68" t="str">
        <f t="shared" si="39"/>
        <v>405960</v>
      </c>
      <c r="B850" s="10">
        <f t="shared" si="40"/>
        <v>279.59496000000001</v>
      </c>
      <c r="C850" s="77" t="s">
        <v>5461</v>
      </c>
      <c r="D850" s="191" t="str">
        <f t="shared" si="41"/>
        <v>TL-LED pásek 14,4W/m 24V 10mm RGB+CW studená bílá IP20</v>
      </c>
      <c r="E850" s="77" t="s">
        <v>3545</v>
      </c>
      <c r="F850" s="77" t="s">
        <v>3546</v>
      </c>
      <c r="G850" s="77" t="s">
        <v>3548</v>
      </c>
      <c r="H850" s="77" t="s">
        <v>3547</v>
      </c>
      <c r="I850" s="77" t="s">
        <v>992</v>
      </c>
      <c r="J850" s="90">
        <v>5</v>
      </c>
      <c r="K850" s="91">
        <v>1</v>
      </c>
      <c r="L850" s="77" t="s">
        <v>6565</v>
      </c>
      <c r="M850" s="78">
        <v>279.59496000000001</v>
      </c>
      <c r="N850" s="79">
        <v>11.917160000000001</v>
      </c>
      <c r="O850" s="79">
        <v>37.167200000000001</v>
      </c>
      <c r="P850" s="79">
        <v>4236.2872699999998</v>
      </c>
      <c r="Q850" s="77"/>
      <c r="R850" s="77"/>
      <c r="S850" s="77"/>
      <c r="T850" s="77"/>
      <c r="U850" s="77"/>
      <c r="V850" s="87"/>
      <c r="W850" s="87"/>
      <c r="X850" s="87"/>
      <c r="Y850" s="77"/>
      <c r="Z850" s="88"/>
      <c r="AA850" s="35"/>
      <c r="AB850" s="35"/>
    </row>
    <row r="851" spans="1:28" x14ac:dyDescent="0.25">
      <c r="A851" s="68" t="str">
        <f t="shared" si="39"/>
        <v>552964</v>
      </c>
      <c r="B851" s="10">
        <f t="shared" si="40"/>
        <v>578.05650000000003</v>
      </c>
      <c r="C851" s="77" t="s">
        <v>5462</v>
      </c>
      <c r="D851" s="191" t="str">
        <f t="shared" si="41"/>
        <v>TL-LED pásek 24V RGBCCT COB 16W záruka 3 roky</v>
      </c>
      <c r="E851" s="77" t="s">
        <v>3549</v>
      </c>
      <c r="F851" s="77" t="s">
        <v>890</v>
      </c>
      <c r="G851" s="77" t="s">
        <v>890</v>
      </c>
      <c r="H851" s="77" t="s">
        <v>890</v>
      </c>
      <c r="I851" s="77" t="s">
        <v>992</v>
      </c>
      <c r="J851" s="90">
        <v>10</v>
      </c>
      <c r="K851" s="91">
        <v>1</v>
      </c>
      <c r="L851" s="77" t="s">
        <v>6565</v>
      </c>
      <c r="M851" s="78">
        <v>578.05650000000003</v>
      </c>
      <c r="N851" s="79">
        <v>24.638459999999998</v>
      </c>
      <c r="O851" s="79">
        <v>0</v>
      </c>
      <c r="P851" s="79">
        <v>8403.7289799999999</v>
      </c>
      <c r="Q851" s="77"/>
      <c r="R851" s="77"/>
      <c r="S851" s="77"/>
      <c r="T851" s="77"/>
      <c r="U851" s="77"/>
      <c r="V851" s="87"/>
      <c r="W851" s="87"/>
      <c r="X851" s="87"/>
      <c r="Y851" s="77"/>
      <c r="Z851" s="88"/>
      <c r="AA851" s="35"/>
      <c r="AB851" s="35"/>
    </row>
    <row r="852" spans="1:28" x14ac:dyDescent="0.25">
      <c r="A852" s="68" t="str">
        <f t="shared" si="39"/>
        <v>543529</v>
      </c>
      <c r="B852" s="10">
        <f t="shared" si="40"/>
        <v>117.1485</v>
      </c>
      <c r="C852" s="77" t="s">
        <v>5463</v>
      </c>
      <c r="D852" s="191" t="str">
        <f t="shared" si="41"/>
        <v>TL-LED pásek 4,8W/m 12V 8mm bílá extra teplá</v>
      </c>
      <c r="E852" s="77" t="s">
        <v>3550</v>
      </c>
      <c r="F852" s="77" t="s">
        <v>794</v>
      </c>
      <c r="G852" s="77" t="s">
        <v>794</v>
      </c>
      <c r="H852" s="77" t="s">
        <v>3551</v>
      </c>
      <c r="I852" s="77" t="s">
        <v>992</v>
      </c>
      <c r="J852" s="90">
        <v>5</v>
      </c>
      <c r="K852" s="91">
        <v>1</v>
      </c>
      <c r="L852" s="77" t="s">
        <v>6565</v>
      </c>
      <c r="M852" s="78">
        <v>117.1485</v>
      </c>
      <c r="N852" s="79">
        <v>4.9932100000000004</v>
      </c>
      <c r="O852" s="79">
        <v>15.57282</v>
      </c>
      <c r="P852" s="79">
        <v>1769.2329999999999</v>
      </c>
      <c r="Q852" s="77"/>
      <c r="R852" s="77"/>
      <c r="S852" s="77"/>
      <c r="T852" s="77"/>
      <c r="U852" s="77"/>
      <c r="V852" s="87"/>
      <c r="W852" s="87"/>
      <c r="X852" s="87"/>
      <c r="Y852" s="77"/>
      <c r="Z852" s="88"/>
      <c r="AA852" s="35"/>
      <c r="AB852" s="35"/>
    </row>
    <row r="853" spans="1:28" x14ac:dyDescent="0.25">
      <c r="A853" s="68" t="str">
        <f t="shared" si="39"/>
        <v>537998</v>
      </c>
      <c r="B853" s="10">
        <f t="shared" si="40"/>
        <v>218.673</v>
      </c>
      <c r="C853" s="77" t="s">
        <v>5464</v>
      </c>
      <c r="D853" s="191" t="str">
        <f t="shared" si="41"/>
        <v>TL-LED pásek 7,2W/m 12V 10mm RGB IP50 (30 LED)</v>
      </c>
      <c r="E853" s="77" t="s">
        <v>3552</v>
      </c>
      <c r="F853" s="77" t="s">
        <v>3553</v>
      </c>
      <c r="G853" s="77" t="s">
        <v>3555</v>
      </c>
      <c r="H853" s="77" t="s">
        <v>3554</v>
      </c>
      <c r="I853" s="77" t="s">
        <v>992</v>
      </c>
      <c r="J853" s="90">
        <v>5</v>
      </c>
      <c r="K853" s="91">
        <v>1</v>
      </c>
      <c r="L853" s="77" t="s">
        <v>6565</v>
      </c>
      <c r="M853" s="78">
        <v>218.673</v>
      </c>
      <c r="N853" s="79">
        <v>9.3204700000000003</v>
      </c>
      <c r="O853" s="79">
        <v>28.399100000000001</v>
      </c>
      <c r="P853" s="79">
        <v>3313.2272899999998</v>
      </c>
      <c r="Q853" s="77"/>
      <c r="R853" s="77"/>
      <c r="S853" s="77"/>
      <c r="T853" s="77"/>
      <c r="U853" s="77"/>
      <c r="V853" s="87"/>
      <c r="W853" s="87"/>
      <c r="X853" s="87"/>
      <c r="Y853" s="77"/>
      <c r="Z853" s="88"/>
      <c r="AA853" s="35"/>
      <c r="AB853" s="35"/>
    </row>
    <row r="854" spans="1:28" x14ac:dyDescent="0.25">
      <c r="A854" s="68" t="str">
        <f t="shared" si="39"/>
        <v>544752</v>
      </c>
      <c r="B854" s="10">
        <f t="shared" si="40"/>
        <v>187.42500000000001</v>
      </c>
      <c r="C854" s="77" t="s">
        <v>5465</v>
      </c>
      <c r="D854" s="191" t="str">
        <f t="shared" si="41"/>
        <v>TL-LED pásek 9,6W/m 12V 10mm IP20 (120 LED) červená</v>
      </c>
      <c r="E854" s="77" t="s">
        <v>3556</v>
      </c>
      <c r="F854" s="77" t="s">
        <v>3557</v>
      </c>
      <c r="G854" s="77" t="s">
        <v>794</v>
      </c>
      <c r="H854" s="77" t="s">
        <v>794</v>
      </c>
      <c r="I854" s="77" t="s">
        <v>992</v>
      </c>
      <c r="J854" s="90">
        <v>10</v>
      </c>
      <c r="K854" s="91">
        <v>1</v>
      </c>
      <c r="L854" s="77" t="s">
        <v>6565</v>
      </c>
      <c r="M854" s="78">
        <v>187.42500000000001</v>
      </c>
      <c r="N854" s="79">
        <v>7.9886200000000001</v>
      </c>
      <c r="O854" s="79">
        <v>24.914840000000002</v>
      </c>
      <c r="P854" s="79">
        <v>2849.02279</v>
      </c>
      <c r="Q854" s="77"/>
      <c r="R854" s="77"/>
      <c r="S854" s="77"/>
      <c r="T854" s="77"/>
      <c r="U854" s="77"/>
      <c r="V854" s="87"/>
      <c r="W854" s="87"/>
      <c r="X854" s="87"/>
      <c r="Y854" s="77"/>
      <c r="Z854" s="88"/>
      <c r="AA854" s="35"/>
      <c r="AB854" s="35"/>
    </row>
    <row r="855" spans="1:28" x14ac:dyDescent="0.25">
      <c r="A855" s="68" t="str">
        <f t="shared" si="39"/>
        <v>544753</v>
      </c>
      <c r="B855" s="10">
        <f t="shared" si="40"/>
        <v>187.42500000000001</v>
      </c>
      <c r="C855" s="77" t="s">
        <v>5466</v>
      </c>
      <c r="D855" s="191" t="str">
        <f t="shared" si="41"/>
        <v>TL-LED pásek 9,6W/m 12V 10mm IP20 (120 LED) zelená</v>
      </c>
      <c r="E855" s="77" t="s">
        <v>3558</v>
      </c>
      <c r="F855" s="77" t="s">
        <v>3557</v>
      </c>
      <c r="G855" s="77" t="s">
        <v>794</v>
      </c>
      <c r="H855" s="77" t="s">
        <v>794</v>
      </c>
      <c r="I855" s="77" t="s">
        <v>992</v>
      </c>
      <c r="J855" s="90">
        <v>10</v>
      </c>
      <c r="K855" s="91">
        <v>1</v>
      </c>
      <c r="L855" s="77" t="s">
        <v>6565</v>
      </c>
      <c r="M855" s="78">
        <v>187.42500000000001</v>
      </c>
      <c r="N855" s="79">
        <v>7.9886200000000001</v>
      </c>
      <c r="O855" s="79">
        <v>24.914840000000002</v>
      </c>
      <c r="P855" s="79">
        <v>2849.02279</v>
      </c>
      <c r="Q855" s="77"/>
      <c r="R855" s="77"/>
      <c r="S855" s="77"/>
      <c r="T855" s="77"/>
      <c r="U855" s="77"/>
      <c r="V855" s="87"/>
      <c r="W855" s="87"/>
      <c r="X855" s="87"/>
      <c r="Y855" s="77"/>
      <c r="Z855" s="88"/>
      <c r="AA855" s="35"/>
      <c r="AB855" s="35"/>
    </row>
    <row r="856" spans="1:28" x14ac:dyDescent="0.25">
      <c r="A856" s="68" t="str">
        <f t="shared" si="39"/>
        <v>543008</v>
      </c>
      <c r="B856" s="10">
        <f t="shared" si="40"/>
        <v>310.84199999999998</v>
      </c>
      <c r="C856" s="77" t="s">
        <v>5467</v>
      </c>
      <c r="D856" s="191" t="str">
        <f t="shared" si="41"/>
        <v>TL-LED pásek 9,6W/m 24V 10mm IP68 (120 LED) teplá bílá</v>
      </c>
      <c r="E856" s="77" t="s">
        <v>3559</v>
      </c>
      <c r="F856" s="77" t="s">
        <v>3560</v>
      </c>
      <c r="G856" s="77" t="s">
        <v>794</v>
      </c>
      <c r="H856" s="77" t="s">
        <v>794</v>
      </c>
      <c r="I856" s="77" t="s">
        <v>992</v>
      </c>
      <c r="J856" s="90">
        <v>10</v>
      </c>
      <c r="K856" s="91">
        <v>1</v>
      </c>
      <c r="L856" s="77" t="s">
        <v>6565</v>
      </c>
      <c r="M856" s="78">
        <v>310.84199999999998</v>
      </c>
      <c r="N856" s="79">
        <v>13.24898</v>
      </c>
      <c r="O856" s="79">
        <v>41.320959999999999</v>
      </c>
      <c r="P856" s="79">
        <v>0</v>
      </c>
      <c r="Q856" s="77"/>
      <c r="R856" s="77"/>
      <c r="S856" s="77"/>
      <c r="T856" s="77"/>
      <c r="U856" s="77"/>
      <c r="V856" s="87"/>
      <c r="W856" s="87"/>
      <c r="X856" s="87"/>
      <c r="Y856" s="77"/>
      <c r="Z856" s="88"/>
      <c r="AA856" s="35"/>
      <c r="AB856" s="35"/>
    </row>
    <row r="857" spans="1:28" x14ac:dyDescent="0.25">
      <c r="A857" s="68" t="str">
        <f t="shared" si="39"/>
        <v>367820</v>
      </c>
      <c r="B857" s="10">
        <f t="shared" si="40"/>
        <v>310.83476999999999</v>
      </c>
      <c r="C857" s="77" t="s">
        <v>5468</v>
      </c>
      <c r="D857" s="191" t="str">
        <f t="shared" si="41"/>
        <v>TL-LED pásek CCT 18W 12V 8mm</v>
      </c>
      <c r="E857" s="77" t="s">
        <v>3561</v>
      </c>
      <c r="F857" s="77" t="s">
        <v>3562</v>
      </c>
      <c r="G857" s="77" t="s">
        <v>794</v>
      </c>
      <c r="H857" s="77" t="s">
        <v>3563</v>
      </c>
      <c r="I857" s="77" t="s">
        <v>992</v>
      </c>
      <c r="J857" s="90">
        <v>5</v>
      </c>
      <c r="K857" s="91">
        <v>1</v>
      </c>
      <c r="L857" s="77" t="s">
        <v>6565</v>
      </c>
      <c r="M857" s="78">
        <v>310.83476999999999</v>
      </c>
      <c r="N857" s="79">
        <v>13.248699999999999</v>
      </c>
      <c r="O857" s="79">
        <v>40.368160000000003</v>
      </c>
      <c r="P857" s="79">
        <v>4709.6177200000002</v>
      </c>
      <c r="Q857" s="77"/>
      <c r="R857" s="77"/>
      <c r="S857" s="77"/>
      <c r="T857" s="77"/>
      <c r="U857" s="77"/>
      <c r="V857" s="87"/>
      <c r="W857" s="87"/>
      <c r="X857" s="87"/>
      <c r="Y857" s="77"/>
      <c r="Z857" s="88"/>
      <c r="AA857" s="35"/>
      <c r="AB857" s="35"/>
    </row>
    <row r="858" spans="1:28" x14ac:dyDescent="0.25">
      <c r="A858" s="68" t="str">
        <f t="shared" si="39"/>
        <v>469216</v>
      </c>
      <c r="B858" s="10">
        <f t="shared" si="40"/>
        <v>187.43792999999999</v>
      </c>
      <c r="C858" s="77" t="s">
        <v>5469</v>
      </c>
      <c r="D858" s="191" t="str">
        <f t="shared" si="41"/>
        <v>TL-LED pásek COB 10W/m 12V 8mm bílá neutrální IP20 (528 LED)</v>
      </c>
      <c r="E858" s="77" t="s">
        <v>3564</v>
      </c>
      <c r="F858" s="77" t="s">
        <v>3565</v>
      </c>
      <c r="G858" s="77" t="s">
        <v>794</v>
      </c>
      <c r="H858" s="77" t="s">
        <v>6535</v>
      </c>
      <c r="I858" s="77" t="s">
        <v>992</v>
      </c>
      <c r="J858" s="90">
        <v>5</v>
      </c>
      <c r="K858" s="91">
        <v>1</v>
      </c>
      <c r="L858" s="77" t="s">
        <v>6565</v>
      </c>
      <c r="M858" s="78">
        <v>187.43792999999999</v>
      </c>
      <c r="N858" s="79">
        <v>7.98916</v>
      </c>
      <c r="O858" s="79">
        <v>24.51736</v>
      </c>
      <c r="P858" s="79">
        <v>2839.9686299999998</v>
      </c>
      <c r="Q858" s="77"/>
      <c r="R858" s="77"/>
      <c r="S858" s="77"/>
      <c r="T858" s="77"/>
      <c r="U858" s="77"/>
      <c r="V858" s="87"/>
      <c r="W858" s="87"/>
      <c r="X858" s="87"/>
      <c r="Y858" s="77"/>
      <c r="Z858" s="88"/>
      <c r="AA858" s="35"/>
      <c r="AB858" s="35"/>
    </row>
    <row r="859" spans="1:28" x14ac:dyDescent="0.25">
      <c r="A859" s="68" t="str">
        <f t="shared" si="39"/>
        <v>536436</v>
      </c>
      <c r="B859" s="10">
        <f t="shared" si="40"/>
        <v>154.6335</v>
      </c>
      <c r="C859" s="77" t="s">
        <v>5470</v>
      </c>
      <c r="D859" s="191" t="str">
        <f t="shared" si="41"/>
        <v>TL-LED pásek Mini 7,5W/m 12V 3,5mm neutrální bílá</v>
      </c>
      <c r="E859" s="77" t="s">
        <v>3566</v>
      </c>
      <c r="F859" s="77" t="s">
        <v>3567</v>
      </c>
      <c r="G859" s="77" t="s">
        <v>794</v>
      </c>
      <c r="H859" s="77" t="s">
        <v>794</v>
      </c>
      <c r="I859" s="77" t="s">
        <v>992</v>
      </c>
      <c r="J859" s="90">
        <v>5</v>
      </c>
      <c r="K859" s="91">
        <v>1</v>
      </c>
      <c r="L859" s="77" t="s">
        <v>6565</v>
      </c>
      <c r="M859" s="78">
        <v>154.6335</v>
      </c>
      <c r="N859" s="79">
        <v>6.5909500000000003</v>
      </c>
      <c r="O859" s="79">
        <v>20.082280000000001</v>
      </c>
      <c r="P859" s="79">
        <v>2342.93181</v>
      </c>
      <c r="Q859" s="77"/>
      <c r="R859" s="77"/>
      <c r="S859" s="77"/>
      <c r="T859" s="77"/>
      <c r="U859" s="77"/>
      <c r="V859" s="87"/>
      <c r="W859" s="87"/>
      <c r="X859" s="87"/>
      <c r="Y859" s="77"/>
      <c r="Z859" s="88"/>
      <c r="AA859" s="35"/>
      <c r="AB859" s="35"/>
    </row>
    <row r="860" spans="1:28" x14ac:dyDescent="0.25">
      <c r="A860" s="68" t="str">
        <f t="shared" si="39"/>
        <v>462130</v>
      </c>
      <c r="B860" s="10">
        <f t="shared" si="40"/>
        <v>139.0095</v>
      </c>
      <c r="C860" s="77" t="s">
        <v>5471</v>
      </c>
      <c r="D860" s="191" t="str">
        <f t="shared" si="41"/>
        <v>TL-LED pásek ohebný Z300 6,2W/m 12V 6mm neutrální bílá</v>
      </c>
      <c r="E860" s="77" t="s">
        <v>3568</v>
      </c>
      <c r="F860" s="77" t="s">
        <v>3569</v>
      </c>
      <c r="G860" s="77" t="s">
        <v>3568</v>
      </c>
      <c r="H860" s="77" t="s">
        <v>6536</v>
      </c>
      <c r="I860" s="77" t="s">
        <v>992</v>
      </c>
      <c r="J860" s="90">
        <v>5</v>
      </c>
      <c r="K860" s="91">
        <v>1</v>
      </c>
      <c r="L860" s="77" t="s">
        <v>6565</v>
      </c>
      <c r="M860" s="78">
        <v>139.0095</v>
      </c>
      <c r="N860" s="79">
        <v>5.9249999999999998</v>
      </c>
      <c r="O860" s="79">
        <v>18.053180000000001</v>
      </c>
      <c r="P860" s="79">
        <v>2106.2045499999999</v>
      </c>
      <c r="Q860" s="77"/>
      <c r="R860" s="77"/>
      <c r="S860" s="77"/>
      <c r="T860" s="77"/>
      <c r="U860" s="77"/>
      <c r="V860" s="87"/>
      <c r="W860" s="87"/>
      <c r="X860" s="87"/>
      <c r="Y860" s="77"/>
      <c r="Z860" s="88"/>
      <c r="AA860" s="35"/>
      <c r="AB860" s="35"/>
    </row>
    <row r="861" spans="1:28" x14ac:dyDescent="0.25">
      <c r="A861" s="68" t="str">
        <f t="shared" ref="A861:A923" si="42">C861</f>
        <v>535844</v>
      </c>
      <c r="B861" s="10">
        <f t="shared" si="40"/>
        <v>139.0095</v>
      </c>
      <c r="C861" s="77" t="s">
        <v>5472</v>
      </c>
      <c r="D861" s="191" t="str">
        <f t="shared" si="41"/>
        <v>TL-LED pásek ohebný Z300 6,2W/m 12V 6mm teplá bílá</v>
      </c>
      <c r="E861" s="77" t="s">
        <v>3570</v>
      </c>
      <c r="F861" s="77" t="s">
        <v>3571</v>
      </c>
      <c r="G861" s="77" t="s">
        <v>3573</v>
      </c>
      <c r="H861" s="77" t="s">
        <v>3572</v>
      </c>
      <c r="I861" s="77" t="s">
        <v>992</v>
      </c>
      <c r="J861" s="90">
        <v>5</v>
      </c>
      <c r="K861" s="91">
        <v>1</v>
      </c>
      <c r="L861" s="77" t="s">
        <v>6565</v>
      </c>
      <c r="M861" s="78">
        <v>139.0095</v>
      </c>
      <c r="N861" s="79">
        <v>5.9249999999999998</v>
      </c>
      <c r="O861" s="79">
        <v>18.053180000000001</v>
      </c>
      <c r="P861" s="79">
        <v>2106.2045499999999</v>
      </c>
      <c r="Q861" s="77"/>
      <c r="R861" s="77"/>
      <c r="S861" s="77"/>
      <c r="T861" s="77"/>
      <c r="U861" s="77"/>
      <c r="V861" s="87"/>
      <c r="W861" s="87"/>
      <c r="X861" s="87"/>
      <c r="Y861" s="77"/>
      <c r="Z861" s="88"/>
      <c r="AA861" s="35"/>
      <c r="AB861" s="35"/>
    </row>
    <row r="862" spans="1:28" x14ac:dyDescent="0.25">
      <c r="A862" s="68" t="str">
        <f t="shared" si="42"/>
        <v>389236</v>
      </c>
      <c r="B862" s="10">
        <f t="shared" si="40"/>
        <v>117.14883</v>
      </c>
      <c r="C862" s="77" t="s">
        <v>5473</v>
      </c>
      <c r="D862" s="191" t="str">
        <f t="shared" si="41"/>
        <v>TL-LED pásek teplá bílá 4,8W 24V 8mm</v>
      </c>
      <c r="E862" s="77" t="s">
        <v>3574</v>
      </c>
      <c r="F862" s="77" t="s">
        <v>3575</v>
      </c>
      <c r="G862" s="77" t="s">
        <v>3577</v>
      </c>
      <c r="H862" s="77" t="s">
        <v>3576</v>
      </c>
      <c r="I862" s="77" t="s">
        <v>992</v>
      </c>
      <c r="J862" s="90">
        <v>5</v>
      </c>
      <c r="K862" s="91">
        <v>1</v>
      </c>
      <c r="L862" s="77" t="s">
        <v>6565</v>
      </c>
      <c r="M862" s="78">
        <v>117.14883</v>
      </c>
      <c r="N862" s="79">
        <v>4.9932100000000004</v>
      </c>
      <c r="O862" s="79">
        <v>15.21414</v>
      </c>
      <c r="P862" s="79">
        <v>1774.98227</v>
      </c>
      <c r="Q862" s="77"/>
      <c r="R862" s="77"/>
      <c r="S862" s="77"/>
      <c r="T862" s="77"/>
      <c r="U862" s="77"/>
      <c r="V862" s="87"/>
      <c r="W862" s="87"/>
      <c r="X862" s="87"/>
      <c r="Y862" s="77"/>
      <c r="Z862" s="88"/>
      <c r="AA862" s="35"/>
      <c r="AB862" s="35"/>
    </row>
    <row r="863" spans="1:28" x14ac:dyDescent="0.25">
      <c r="A863" s="68" t="str">
        <f t="shared" si="42"/>
        <v>536437</v>
      </c>
      <c r="B863" s="10">
        <f t="shared" ref="B863:B925" si="43">IF($B$1=1,M863,IF($B$1=2,N863,IF($B$1=3,O863,IF($B$1=4,P863))))</f>
        <v>413.91</v>
      </c>
      <c r="C863" s="77" t="s">
        <v>5474</v>
      </c>
      <c r="D863" s="191" t="str">
        <f t="shared" si="41"/>
        <v>TL-napájecí zdroj pro LED 12V 30W IP67</v>
      </c>
      <c r="E863" s="77" t="s">
        <v>3578</v>
      </c>
      <c r="F863" s="77" t="s">
        <v>890</v>
      </c>
      <c r="G863" s="77" t="s">
        <v>890</v>
      </c>
      <c r="H863" s="77" t="s">
        <v>890</v>
      </c>
      <c r="I863" s="77" t="s">
        <v>795</v>
      </c>
      <c r="J863" s="90">
        <v>1</v>
      </c>
      <c r="K863" s="91">
        <v>1</v>
      </c>
      <c r="L863" s="77" t="s">
        <v>6565</v>
      </c>
      <c r="M863" s="78">
        <v>413.91</v>
      </c>
      <c r="N863" s="79">
        <v>17.64207</v>
      </c>
      <c r="O863" s="79">
        <v>53.754539999999999</v>
      </c>
      <c r="P863" s="79">
        <v>6271.3636399999996</v>
      </c>
      <c r="Q863" s="77"/>
      <c r="R863" s="77"/>
      <c r="S863" s="77"/>
      <c r="T863" s="77"/>
      <c r="U863" s="77"/>
      <c r="V863" s="87"/>
      <c r="W863" s="87"/>
      <c r="X863" s="87"/>
      <c r="Y863" s="77"/>
      <c r="Z863" s="88"/>
      <c r="AA863" s="35"/>
      <c r="AB863" s="35"/>
    </row>
    <row r="864" spans="1:28" x14ac:dyDescent="0.25">
      <c r="A864" s="68" t="str">
        <f t="shared" si="42"/>
        <v>421970</v>
      </c>
      <c r="B864" s="10">
        <f t="shared" si="43"/>
        <v>343.63634999999999</v>
      </c>
      <c r="C864" s="77" t="s">
        <v>5475</v>
      </c>
      <c r="D864" s="191" t="str">
        <f t="shared" si="41"/>
        <v>TL-napájecí zdroj pro LED 12V 36W IP20</v>
      </c>
      <c r="E864" s="77" t="s">
        <v>3579</v>
      </c>
      <c r="F864" s="77" t="s">
        <v>3580</v>
      </c>
      <c r="G864" s="77" t="s">
        <v>3582</v>
      </c>
      <c r="H864" s="77" t="s">
        <v>3581</v>
      </c>
      <c r="I864" s="77" t="s">
        <v>795</v>
      </c>
      <c r="J864" s="90">
        <v>1</v>
      </c>
      <c r="K864" s="91">
        <v>1</v>
      </c>
      <c r="L864" s="77" t="s">
        <v>6565</v>
      </c>
      <c r="M864" s="78">
        <v>343.63634999999999</v>
      </c>
      <c r="N864" s="79">
        <v>14.646800000000001</v>
      </c>
      <c r="O864" s="79">
        <v>44.628100000000003</v>
      </c>
      <c r="P864" s="79">
        <v>5206.6113699999996</v>
      </c>
      <c r="Q864" s="77"/>
      <c r="R864" s="77"/>
      <c r="S864" s="77"/>
      <c r="T864" s="77"/>
      <c r="U864" s="77"/>
      <c r="V864" s="87"/>
      <c r="W864" s="87"/>
      <c r="X864" s="87"/>
      <c r="Y864" s="77"/>
      <c r="Z864" s="88"/>
      <c r="AA864" s="35"/>
      <c r="AB864" s="35"/>
    </row>
    <row r="865" spans="1:28" x14ac:dyDescent="0.25">
      <c r="A865" s="68" t="str">
        <f t="shared" si="42"/>
        <v>421799</v>
      </c>
      <c r="B865" s="10">
        <f t="shared" si="43"/>
        <v>390.50549999999998</v>
      </c>
      <c r="C865" s="77" t="s">
        <v>5476</v>
      </c>
      <c r="D865" s="191" t="str">
        <f t="shared" si="41"/>
        <v>TL-napájecí zdroj pro LED 12V 48W IP20</v>
      </c>
      <c r="E865" s="77" t="s">
        <v>3583</v>
      </c>
      <c r="F865" s="77" t="s">
        <v>3584</v>
      </c>
      <c r="G865" s="77" t="s">
        <v>3586</v>
      </c>
      <c r="H865" s="77" t="s">
        <v>3585</v>
      </c>
      <c r="I865" s="77" t="s">
        <v>795</v>
      </c>
      <c r="J865" s="90">
        <v>1</v>
      </c>
      <c r="K865" s="91">
        <v>1</v>
      </c>
      <c r="L865" s="77" t="s">
        <v>6565</v>
      </c>
      <c r="M865" s="78">
        <v>390.50549999999998</v>
      </c>
      <c r="N865" s="79">
        <v>16.64452</v>
      </c>
      <c r="O865" s="79">
        <v>50.715000000000003</v>
      </c>
      <c r="P865" s="79">
        <v>5916.75</v>
      </c>
      <c r="Q865" s="77"/>
      <c r="R865" s="77"/>
      <c r="S865" s="77"/>
      <c r="T865" s="77"/>
      <c r="U865" s="77"/>
      <c r="V865" s="87"/>
      <c r="W865" s="87"/>
      <c r="X865" s="87"/>
      <c r="Y865" s="77"/>
      <c r="Z865" s="88"/>
      <c r="AA865" s="35"/>
      <c r="AB865" s="35"/>
    </row>
    <row r="866" spans="1:28" x14ac:dyDescent="0.25">
      <c r="A866" s="68" t="str">
        <f t="shared" si="42"/>
        <v>385976</v>
      </c>
      <c r="B866" s="10">
        <f t="shared" si="43"/>
        <v>558.40902000000006</v>
      </c>
      <c r="C866" s="77" t="s">
        <v>5477</v>
      </c>
      <c r="D866" s="191" t="str">
        <f t="shared" si="41"/>
        <v>TL-napájecí zdroj pro LED 12V 72W IP20</v>
      </c>
      <c r="E866" s="77" t="s">
        <v>3587</v>
      </c>
      <c r="F866" s="77" t="s">
        <v>3588</v>
      </c>
      <c r="G866" s="77" t="s">
        <v>3590</v>
      </c>
      <c r="H866" s="77" t="s">
        <v>3589</v>
      </c>
      <c r="I866" s="77" t="s">
        <v>795</v>
      </c>
      <c r="J866" s="90">
        <v>1</v>
      </c>
      <c r="K866" s="91">
        <v>1</v>
      </c>
      <c r="L866" s="77" t="s">
        <v>6565</v>
      </c>
      <c r="M866" s="78">
        <v>558.40902000000006</v>
      </c>
      <c r="N866" s="79">
        <v>23.80106</v>
      </c>
      <c r="O866" s="79">
        <v>72.520660000000007</v>
      </c>
      <c r="P866" s="79">
        <v>8460.7427200000002</v>
      </c>
      <c r="Q866" s="77"/>
      <c r="R866" s="77"/>
      <c r="S866" s="77"/>
      <c r="T866" s="77"/>
      <c r="U866" s="77"/>
      <c r="V866" s="87"/>
      <c r="W866" s="87"/>
      <c r="X866" s="87"/>
      <c r="Y866" s="77"/>
      <c r="Z866" s="88"/>
      <c r="AA866" s="35"/>
      <c r="AB866" s="35"/>
    </row>
    <row r="867" spans="1:28" x14ac:dyDescent="0.25">
      <c r="A867" s="68" t="str">
        <f t="shared" si="42"/>
        <v>505522</v>
      </c>
      <c r="B867" s="10">
        <f t="shared" si="43"/>
        <v>1091.82654</v>
      </c>
      <c r="C867" s="77" t="s">
        <v>5478</v>
      </c>
      <c r="D867" s="191" t="str">
        <f t="shared" si="41"/>
        <v>TL-napájecí zdroj pro LED 24V 100W IP67 Long</v>
      </c>
      <c r="E867" s="77" t="s">
        <v>3591</v>
      </c>
      <c r="F867" s="77" t="s">
        <v>3592</v>
      </c>
      <c r="G867" s="77" t="s">
        <v>3594</v>
      </c>
      <c r="H867" s="77" t="s">
        <v>3593</v>
      </c>
      <c r="I867" s="77" t="s">
        <v>795</v>
      </c>
      <c r="J867" s="90">
        <v>1</v>
      </c>
      <c r="K867" s="91">
        <v>1</v>
      </c>
      <c r="L867" s="77" t="s">
        <v>6565</v>
      </c>
      <c r="M867" s="78">
        <v>1091.82654</v>
      </c>
      <c r="N867" s="79">
        <v>46.53687</v>
      </c>
      <c r="O867" s="79">
        <v>141.79566</v>
      </c>
      <c r="P867" s="79">
        <v>16542.826359999999</v>
      </c>
      <c r="Q867" s="77"/>
      <c r="R867" s="77"/>
      <c r="S867" s="77"/>
      <c r="T867" s="77"/>
      <c r="U867" s="77"/>
      <c r="V867" s="87"/>
      <c r="W867" s="87"/>
      <c r="X867" s="87"/>
      <c r="Y867" s="77"/>
      <c r="Z867" s="88"/>
      <c r="AA867" s="35"/>
      <c r="AB867" s="35"/>
    </row>
    <row r="868" spans="1:28" x14ac:dyDescent="0.25">
      <c r="A868" s="68" t="str">
        <f t="shared" si="42"/>
        <v>362793</v>
      </c>
      <c r="B868" s="10">
        <f t="shared" si="43"/>
        <v>827.85149999999999</v>
      </c>
      <c r="C868" s="77" t="s">
        <v>5479</v>
      </c>
      <c r="D868" s="191" t="str">
        <f t="shared" si="41"/>
        <v>TL-napájecí zdroj pro LED 24V 100W IP67 Slim</v>
      </c>
      <c r="E868" s="77" t="s">
        <v>3595</v>
      </c>
      <c r="F868" s="77" t="s">
        <v>3596</v>
      </c>
      <c r="G868" s="77" t="s">
        <v>794</v>
      </c>
      <c r="H868" s="77" t="s">
        <v>3597</v>
      </c>
      <c r="I868" s="77" t="s">
        <v>795</v>
      </c>
      <c r="J868" s="90">
        <v>1</v>
      </c>
      <c r="K868" s="91">
        <v>1</v>
      </c>
      <c r="L868" s="77" t="s">
        <v>6565</v>
      </c>
      <c r="M868" s="78">
        <v>827.85149999999999</v>
      </c>
      <c r="N868" s="79">
        <v>39.000140000000002</v>
      </c>
      <c r="O868" s="79">
        <v>107.51318000000001</v>
      </c>
      <c r="P868" s="79">
        <v>14176.183639999999</v>
      </c>
      <c r="Q868" s="77"/>
      <c r="R868" s="77"/>
      <c r="S868" s="77"/>
      <c r="T868" s="77"/>
      <c r="U868" s="77"/>
      <c r="V868" s="87"/>
      <c r="W868" s="87"/>
      <c r="X868" s="87"/>
      <c r="Y868" s="77"/>
      <c r="Z868" s="88"/>
      <c r="AA868" s="35"/>
      <c r="AB868" s="35"/>
    </row>
    <row r="869" spans="1:28" x14ac:dyDescent="0.25">
      <c r="A869" s="68" t="str">
        <f t="shared" si="42"/>
        <v>516619</v>
      </c>
      <c r="B869" s="10">
        <f t="shared" si="43"/>
        <v>1280.82654</v>
      </c>
      <c r="C869" s="77" t="s">
        <v>5480</v>
      </c>
      <c r="D869" s="191" t="str">
        <f t="shared" si="41"/>
        <v>TL-napájecí zdroj pro LED 24V 150W IP67 Long</v>
      </c>
      <c r="E869" s="77" t="s">
        <v>3598</v>
      </c>
      <c r="F869" s="77" t="s">
        <v>3599</v>
      </c>
      <c r="G869" s="77" t="s">
        <v>3601</v>
      </c>
      <c r="H869" s="77" t="s">
        <v>3600</v>
      </c>
      <c r="I869" s="77" t="s">
        <v>795</v>
      </c>
      <c r="J869" s="90">
        <v>1</v>
      </c>
      <c r="K869" s="91">
        <v>1</v>
      </c>
      <c r="L869" s="77" t="s">
        <v>6565</v>
      </c>
      <c r="M869" s="78">
        <v>1280.82654</v>
      </c>
      <c r="N869" s="79">
        <v>54.592610000000001</v>
      </c>
      <c r="O869" s="79">
        <v>166.34110000000001</v>
      </c>
      <c r="P869" s="79">
        <v>19406.462739999999</v>
      </c>
      <c r="Q869" s="77"/>
      <c r="R869" s="77"/>
      <c r="S869" s="77"/>
      <c r="T869" s="77"/>
      <c r="U869" s="77"/>
      <c r="V869" s="87"/>
      <c r="W869" s="87"/>
      <c r="X869" s="87"/>
      <c r="Y869" s="77"/>
      <c r="Z869" s="88"/>
      <c r="AA869" s="35"/>
      <c r="AB869" s="35"/>
    </row>
    <row r="870" spans="1:28" x14ac:dyDescent="0.25">
      <c r="A870" s="68" t="str">
        <f t="shared" si="42"/>
        <v>516647</v>
      </c>
      <c r="B870" s="10">
        <f t="shared" si="43"/>
        <v>1452.64455</v>
      </c>
      <c r="C870" s="77" t="s">
        <v>5481</v>
      </c>
      <c r="D870" s="191" t="str">
        <f t="shared" si="41"/>
        <v>TL-napájecí zdroj pro LED 24V 200W IP67 Long</v>
      </c>
      <c r="E870" s="77" t="s">
        <v>3602</v>
      </c>
      <c r="F870" s="77" t="s">
        <v>3603</v>
      </c>
      <c r="G870" s="77" t="s">
        <v>3605</v>
      </c>
      <c r="H870" s="77" t="s">
        <v>3604</v>
      </c>
      <c r="I870" s="77" t="s">
        <v>795</v>
      </c>
      <c r="J870" s="90">
        <v>1</v>
      </c>
      <c r="K870" s="91">
        <v>1</v>
      </c>
      <c r="L870" s="77" t="s">
        <v>6565</v>
      </c>
      <c r="M870" s="78">
        <v>1452.64455</v>
      </c>
      <c r="N870" s="79">
        <v>61.91601</v>
      </c>
      <c r="O870" s="79">
        <v>188.65513999999999</v>
      </c>
      <c r="P870" s="79">
        <v>22009.765899999999</v>
      </c>
      <c r="Q870" s="77"/>
      <c r="R870" s="77"/>
      <c r="S870" s="77"/>
      <c r="T870" s="77"/>
      <c r="U870" s="77"/>
      <c r="V870" s="87"/>
      <c r="W870" s="87"/>
      <c r="X870" s="87"/>
      <c r="Y870" s="77"/>
      <c r="Z870" s="88"/>
      <c r="AA870" s="35"/>
      <c r="AB870" s="35"/>
    </row>
    <row r="871" spans="1:28" x14ac:dyDescent="0.25">
      <c r="A871" s="68" t="str">
        <f t="shared" si="42"/>
        <v>525305</v>
      </c>
      <c r="B871" s="10">
        <f t="shared" si="43"/>
        <v>1248.03</v>
      </c>
      <c r="C871" s="77" t="s">
        <v>5482</v>
      </c>
      <c r="D871" s="191" t="str">
        <f t="shared" si="41"/>
        <v>TL-napájecí zdroj pro LED 24V 250W IP20</v>
      </c>
      <c r="E871" s="77" t="s">
        <v>3606</v>
      </c>
      <c r="F871" s="77" t="s">
        <v>3607</v>
      </c>
      <c r="G871" s="77" t="s">
        <v>3609</v>
      </c>
      <c r="H871" s="77" t="s">
        <v>3608</v>
      </c>
      <c r="I871" s="77" t="s">
        <v>795</v>
      </c>
      <c r="J871" s="90">
        <v>1</v>
      </c>
      <c r="K871" s="91">
        <v>1</v>
      </c>
      <c r="L871" s="77" t="s">
        <v>6565</v>
      </c>
      <c r="M871" s="78">
        <v>1248.03</v>
      </c>
      <c r="N871" s="79">
        <v>53.194740000000003</v>
      </c>
      <c r="O871" s="79">
        <v>162.50380000000001</v>
      </c>
      <c r="P871" s="79">
        <v>18909.545450000001</v>
      </c>
      <c r="Q871" s="77"/>
      <c r="R871" s="77"/>
      <c r="S871" s="77"/>
      <c r="T871" s="77"/>
      <c r="U871" s="77"/>
      <c r="V871" s="87"/>
      <c r="W871" s="87"/>
      <c r="X871" s="87"/>
      <c r="Y871" s="77"/>
      <c r="Z871" s="88"/>
      <c r="AA871" s="35"/>
      <c r="AB871" s="35"/>
    </row>
    <row r="872" spans="1:28" x14ac:dyDescent="0.25">
      <c r="A872" s="68" t="str">
        <f t="shared" si="42"/>
        <v>471198</v>
      </c>
      <c r="B872" s="10">
        <f t="shared" si="43"/>
        <v>2421.0742500000001</v>
      </c>
      <c r="C872" s="77" t="s">
        <v>5483</v>
      </c>
      <c r="D872" s="191" t="str">
        <f t="shared" si="41"/>
        <v>TL-napájecí zdroj pro LED 24V 250W IP67 záruka 5 let</v>
      </c>
      <c r="E872" s="77" t="s">
        <v>3610</v>
      </c>
      <c r="F872" s="77" t="s">
        <v>3611</v>
      </c>
      <c r="G872" s="77" t="s">
        <v>3613</v>
      </c>
      <c r="H872" s="77" t="s">
        <v>3612</v>
      </c>
      <c r="I872" s="77" t="s">
        <v>795</v>
      </c>
      <c r="J872" s="90">
        <v>1</v>
      </c>
      <c r="K872" s="91">
        <v>1</v>
      </c>
      <c r="L872" s="77" t="s">
        <v>6565</v>
      </c>
      <c r="M872" s="78">
        <v>2421.0742500000001</v>
      </c>
      <c r="N872" s="79">
        <v>100.91852</v>
      </c>
      <c r="O872" s="79">
        <v>294.14046000000002</v>
      </c>
      <c r="P872" s="79">
        <v>36682.943189999998</v>
      </c>
      <c r="Q872" s="77"/>
      <c r="R872" s="77"/>
      <c r="S872" s="77"/>
      <c r="T872" s="77"/>
      <c r="U872" s="77"/>
      <c r="V872" s="87"/>
      <c r="W872" s="87"/>
      <c r="X872" s="87"/>
      <c r="Y872" s="77"/>
      <c r="Z872" s="88"/>
      <c r="AA872" s="35"/>
      <c r="AB872" s="35"/>
    </row>
    <row r="873" spans="1:28" x14ac:dyDescent="0.25">
      <c r="A873" s="68" t="str">
        <f t="shared" si="42"/>
        <v>521085</v>
      </c>
      <c r="B873" s="10">
        <f t="shared" si="43"/>
        <v>1872.8325</v>
      </c>
      <c r="C873" s="77" t="s">
        <v>5484</v>
      </c>
      <c r="D873" s="191" t="str">
        <f t="shared" si="41"/>
        <v>TL-napájecí zdroj pro LED 24V 300W IP67 Slim</v>
      </c>
      <c r="E873" s="77" t="s">
        <v>3614</v>
      </c>
      <c r="F873" s="77" t="s">
        <v>3615</v>
      </c>
      <c r="G873" s="77" t="s">
        <v>3617</v>
      </c>
      <c r="H873" s="77" t="s">
        <v>3616</v>
      </c>
      <c r="I873" s="77" t="s">
        <v>795</v>
      </c>
      <c r="J873" s="90">
        <v>1</v>
      </c>
      <c r="K873" s="91">
        <v>1</v>
      </c>
      <c r="L873" s="77" t="s">
        <v>6565</v>
      </c>
      <c r="M873" s="78">
        <v>1872.8325</v>
      </c>
      <c r="N873" s="79">
        <v>79.825649999999996</v>
      </c>
      <c r="O873" s="79">
        <v>243.22499999999999</v>
      </c>
      <c r="P873" s="79">
        <v>32896.318639999998</v>
      </c>
      <c r="Q873" s="77"/>
      <c r="R873" s="77"/>
      <c r="S873" s="77"/>
      <c r="T873" s="77"/>
      <c r="U873" s="77"/>
      <c r="V873" s="87"/>
      <c r="W873" s="87"/>
      <c r="X873" s="87"/>
      <c r="Y873" s="77"/>
      <c r="Z873" s="88"/>
      <c r="AA873" s="35"/>
      <c r="AB873" s="35"/>
    </row>
    <row r="874" spans="1:28" x14ac:dyDescent="0.25">
      <c r="A874" s="68" t="str">
        <f t="shared" si="42"/>
        <v>509739</v>
      </c>
      <c r="B874" s="10">
        <f t="shared" si="43"/>
        <v>2952.1488300000001</v>
      </c>
      <c r="C874" s="77" t="s">
        <v>5485</v>
      </c>
      <c r="D874" s="191" t="str">
        <f t="shared" si="41"/>
        <v>TL-napájecí zdroj pro LED 24V 300W IP67 záruka 5 let</v>
      </c>
      <c r="E874" s="77" t="s">
        <v>3618</v>
      </c>
      <c r="F874" s="77" t="s">
        <v>3619</v>
      </c>
      <c r="G874" s="77" t="s">
        <v>3621</v>
      </c>
      <c r="H874" s="77" t="s">
        <v>3620</v>
      </c>
      <c r="I874" s="77" t="s">
        <v>795</v>
      </c>
      <c r="J874" s="90">
        <v>1</v>
      </c>
      <c r="K874" s="91">
        <v>1</v>
      </c>
      <c r="L874" s="77" t="s">
        <v>6565</v>
      </c>
      <c r="M874" s="78">
        <v>2952.1488300000001</v>
      </c>
      <c r="N874" s="79">
        <v>125.82928</v>
      </c>
      <c r="O874" s="79">
        <v>383.39596</v>
      </c>
      <c r="P874" s="79">
        <v>44729.527719999998</v>
      </c>
      <c r="Q874" s="77"/>
      <c r="R874" s="77"/>
      <c r="S874" s="77"/>
      <c r="T874" s="77"/>
      <c r="U874" s="77"/>
      <c r="V874" s="87"/>
      <c r="W874" s="87"/>
      <c r="X874" s="87"/>
      <c r="Y874" s="77"/>
      <c r="Z874" s="88"/>
      <c r="AA874" s="35"/>
      <c r="AB874" s="35"/>
    </row>
    <row r="875" spans="1:28" x14ac:dyDescent="0.25">
      <c r="A875" s="68" t="str">
        <f t="shared" si="42"/>
        <v>526368</v>
      </c>
      <c r="B875" s="10">
        <f t="shared" si="43"/>
        <v>3122.4059999999999</v>
      </c>
      <c r="C875" s="77" t="s">
        <v>5486</v>
      </c>
      <c r="D875" s="191" t="str">
        <f t="shared" si="41"/>
        <v>TL-napájecí zdroj pro LED 24V 350W IP67 záruka 5 let</v>
      </c>
      <c r="E875" s="77" t="s">
        <v>3622</v>
      </c>
      <c r="F875" s="77" t="s">
        <v>3623</v>
      </c>
      <c r="G875" s="77" t="s">
        <v>3625</v>
      </c>
      <c r="H875" s="77" t="s">
        <v>3624</v>
      </c>
      <c r="I875" s="77" t="s">
        <v>795</v>
      </c>
      <c r="J875" s="90">
        <v>1</v>
      </c>
      <c r="K875" s="91">
        <v>1</v>
      </c>
      <c r="L875" s="77" t="s">
        <v>6565</v>
      </c>
      <c r="M875" s="78">
        <v>3122.4059999999999</v>
      </c>
      <c r="N875" s="79">
        <v>133.08616000000001</v>
      </c>
      <c r="O875" s="79">
        <v>405.50727999999998</v>
      </c>
      <c r="P875" s="79">
        <v>47309.181810000002</v>
      </c>
      <c r="Q875" s="77"/>
      <c r="R875" s="77"/>
      <c r="S875" s="77"/>
      <c r="T875" s="77"/>
      <c r="U875" s="77"/>
      <c r="V875" s="87"/>
      <c r="W875" s="87"/>
      <c r="X875" s="87"/>
      <c r="Y875" s="77"/>
      <c r="Z875" s="88"/>
      <c r="AA875" s="35"/>
      <c r="AB875" s="35"/>
    </row>
    <row r="876" spans="1:28" x14ac:dyDescent="0.25">
      <c r="A876" s="68" t="str">
        <f t="shared" si="42"/>
        <v>539102</v>
      </c>
      <c r="B876" s="10">
        <f t="shared" si="43"/>
        <v>1233.981</v>
      </c>
      <c r="C876" s="77" t="s">
        <v>5487</v>
      </c>
      <c r="D876" s="191" t="str">
        <f t="shared" si="41"/>
        <v>TL-napájecí zdroj pro LED 24V 400W IP20</v>
      </c>
      <c r="E876" s="77" t="s">
        <v>3626</v>
      </c>
      <c r="F876" s="77" t="s">
        <v>3627</v>
      </c>
      <c r="G876" s="77" t="s">
        <v>3629</v>
      </c>
      <c r="H876" s="77" t="s">
        <v>3628</v>
      </c>
      <c r="I876" s="77" t="s">
        <v>795</v>
      </c>
      <c r="J876" s="90">
        <v>1</v>
      </c>
      <c r="K876" s="91">
        <v>1</v>
      </c>
      <c r="L876" s="77" t="s">
        <v>6565</v>
      </c>
      <c r="M876" s="78">
        <v>1233.981</v>
      </c>
      <c r="N876" s="79">
        <v>52.595930000000003</v>
      </c>
      <c r="O876" s="79">
        <v>160.25728000000001</v>
      </c>
      <c r="P876" s="79">
        <v>18696.681809999998</v>
      </c>
      <c r="Q876" s="77"/>
      <c r="R876" s="77"/>
      <c r="S876" s="77"/>
      <c r="T876" s="77"/>
      <c r="U876" s="77"/>
      <c r="V876" s="87"/>
      <c r="W876" s="87"/>
      <c r="X876" s="87"/>
      <c r="Y876" s="77"/>
      <c r="Z876" s="88"/>
      <c r="AA876" s="35"/>
      <c r="AB876" s="35"/>
    </row>
    <row r="877" spans="1:28" x14ac:dyDescent="0.25">
      <c r="A877" s="68" t="str">
        <f t="shared" si="42"/>
        <v>538557</v>
      </c>
      <c r="B877" s="10">
        <f t="shared" si="43"/>
        <v>1560.4155000000001</v>
      </c>
      <c r="C877" s="77" t="s">
        <v>5488</v>
      </c>
      <c r="D877" s="191" t="str">
        <f t="shared" si="41"/>
        <v>TL-napájecí zdroj pro LED 24V 400W IP20 (nastavení intenzity)</v>
      </c>
      <c r="E877" s="77" t="s">
        <v>3630</v>
      </c>
      <c r="F877" s="77" t="s">
        <v>3631</v>
      </c>
      <c r="G877" s="77" t="s">
        <v>3632</v>
      </c>
      <c r="H877" s="77" t="s">
        <v>3628</v>
      </c>
      <c r="I877" s="77" t="s">
        <v>795</v>
      </c>
      <c r="J877" s="90">
        <v>1</v>
      </c>
      <c r="K877" s="91">
        <v>1</v>
      </c>
      <c r="L877" s="77" t="s">
        <v>6565</v>
      </c>
      <c r="M877" s="78">
        <v>1560.4155000000001</v>
      </c>
      <c r="N877" s="79">
        <v>66.509519999999995</v>
      </c>
      <c r="O877" s="79">
        <v>207.42966000000001</v>
      </c>
      <c r="P877" s="79">
        <v>23642.659100000001</v>
      </c>
      <c r="Q877" s="77"/>
      <c r="R877" s="77"/>
      <c r="S877" s="77"/>
      <c r="T877" s="77"/>
      <c r="U877" s="77"/>
      <c r="V877" s="87"/>
      <c r="W877" s="87"/>
      <c r="X877" s="87"/>
      <c r="Y877" s="77"/>
      <c r="Z877" s="88"/>
      <c r="AA877" s="35"/>
      <c r="AB877" s="35"/>
    </row>
    <row r="878" spans="1:28" x14ac:dyDescent="0.25">
      <c r="A878" s="68" t="str">
        <f t="shared" si="42"/>
        <v>506466</v>
      </c>
      <c r="B878" s="10">
        <f t="shared" si="43"/>
        <v>2077.4250000000002</v>
      </c>
      <c r="C878" s="77" t="s">
        <v>5489</v>
      </c>
      <c r="D878" s="191" t="str">
        <f t="shared" si="41"/>
        <v>TL-napájecí zdroj pro LED 24V 400W IP67 Slim</v>
      </c>
      <c r="E878" s="77" t="s">
        <v>3633</v>
      </c>
      <c r="F878" s="77" t="s">
        <v>3634</v>
      </c>
      <c r="G878" s="77" t="s">
        <v>3636</v>
      </c>
      <c r="H878" s="77" t="s">
        <v>3635</v>
      </c>
      <c r="I878" s="77" t="s">
        <v>795</v>
      </c>
      <c r="J878" s="90">
        <v>1</v>
      </c>
      <c r="K878" s="91">
        <v>1</v>
      </c>
      <c r="L878" s="77" t="s">
        <v>6565</v>
      </c>
      <c r="M878" s="78">
        <v>2077.4250000000002</v>
      </c>
      <c r="N878" s="79">
        <v>88.546000000000006</v>
      </c>
      <c r="O878" s="79">
        <v>277.48759999999999</v>
      </c>
      <c r="P878" s="79">
        <v>31476.13636</v>
      </c>
      <c r="Q878" s="77"/>
      <c r="R878" s="77"/>
      <c r="S878" s="77"/>
      <c r="T878" s="77"/>
      <c r="U878" s="77"/>
      <c r="V878" s="87"/>
      <c r="W878" s="87"/>
      <c r="X878" s="87"/>
      <c r="Y878" s="77"/>
      <c r="Z878" s="88"/>
      <c r="AA878" s="35"/>
      <c r="AB878" s="35"/>
    </row>
    <row r="879" spans="1:28" x14ac:dyDescent="0.25">
      <c r="A879" s="68" t="str">
        <f t="shared" si="42"/>
        <v>284013</v>
      </c>
      <c r="B879" s="10">
        <f t="shared" si="43"/>
        <v>515.45465999999999</v>
      </c>
      <c r="C879" s="77" t="s">
        <v>5490</v>
      </c>
      <c r="D879" s="191" t="str">
        <f t="shared" si="41"/>
        <v>TL-napájecí zdroj pro LED 24V 60W IP67</v>
      </c>
      <c r="E879" s="77" t="s">
        <v>3637</v>
      </c>
      <c r="F879" s="77" t="s">
        <v>3638</v>
      </c>
      <c r="G879" s="77" t="s">
        <v>3640</v>
      </c>
      <c r="H879" s="77" t="s">
        <v>3639</v>
      </c>
      <c r="I879" s="77" t="s">
        <v>795</v>
      </c>
      <c r="J879" s="90">
        <v>1</v>
      </c>
      <c r="K879" s="91">
        <v>1</v>
      </c>
      <c r="L879" s="77" t="s">
        <v>6565</v>
      </c>
      <c r="M879" s="78">
        <v>515.45465999999999</v>
      </c>
      <c r="N879" s="79">
        <v>21.970199999999998</v>
      </c>
      <c r="O879" s="79">
        <v>68.954419999999999</v>
      </c>
      <c r="P879" s="79">
        <v>7809.9191000000001</v>
      </c>
      <c r="Q879" s="77"/>
      <c r="R879" s="77"/>
      <c r="S879" s="77"/>
      <c r="T879" s="77"/>
      <c r="U879" s="77"/>
      <c r="V879" s="87"/>
      <c r="W879" s="87"/>
      <c r="X879" s="87"/>
      <c r="Y879" s="77"/>
      <c r="Z879" s="88"/>
      <c r="AA879" s="35"/>
      <c r="AB879" s="35"/>
    </row>
    <row r="880" spans="1:28" x14ac:dyDescent="0.25">
      <c r="A880" s="68" t="str">
        <f t="shared" si="42"/>
        <v>500718</v>
      </c>
      <c r="B880" s="10">
        <f t="shared" si="43"/>
        <v>1218.357</v>
      </c>
      <c r="C880" s="77" t="s">
        <v>5491</v>
      </c>
      <c r="D880" s="191" t="str">
        <f t="shared" si="41"/>
        <v>TL-napájecí zdroj pro LED SLIM 24V 150W IP67</v>
      </c>
      <c r="E880" s="77" t="s">
        <v>3641</v>
      </c>
      <c r="F880" s="77" t="s">
        <v>3642</v>
      </c>
      <c r="G880" s="77" t="s">
        <v>3644</v>
      </c>
      <c r="H880" s="77" t="s">
        <v>3643</v>
      </c>
      <c r="I880" s="77" t="s">
        <v>795</v>
      </c>
      <c r="J880" s="90">
        <v>1</v>
      </c>
      <c r="K880" s="91">
        <v>1</v>
      </c>
      <c r="L880" s="77" t="s">
        <v>227</v>
      </c>
      <c r="M880" s="78">
        <v>1218.357</v>
      </c>
      <c r="N880" s="79">
        <v>51.92998</v>
      </c>
      <c r="O880" s="79">
        <v>158.22818000000001</v>
      </c>
      <c r="P880" s="79">
        <v>18459.954549999999</v>
      </c>
      <c r="Q880" s="77"/>
      <c r="R880" s="77"/>
      <c r="S880" s="77"/>
      <c r="T880" s="77"/>
      <c r="U880" s="77"/>
      <c r="V880" s="87"/>
      <c r="W880" s="87"/>
      <c r="X880" s="87"/>
      <c r="Y880" s="77"/>
      <c r="Z880" s="88"/>
      <c r="AA880" s="35"/>
      <c r="AB880" s="35"/>
    </row>
    <row r="881" spans="1:28" x14ac:dyDescent="0.25">
      <c r="A881" s="68" t="str">
        <f t="shared" si="42"/>
        <v>509708</v>
      </c>
      <c r="B881" s="10">
        <f t="shared" si="43"/>
        <v>1327.6935000000001</v>
      </c>
      <c r="C881" s="77" t="s">
        <v>5492</v>
      </c>
      <c r="D881" s="191" t="str">
        <f t="shared" si="41"/>
        <v>TL-napájecí zdroj pro LED Slim 24V 200W IP67</v>
      </c>
      <c r="E881" s="77" t="s">
        <v>3645</v>
      </c>
      <c r="F881" s="77" t="s">
        <v>3646</v>
      </c>
      <c r="G881" s="77" t="s">
        <v>3648</v>
      </c>
      <c r="H881" s="77" t="s">
        <v>3647</v>
      </c>
      <c r="I881" s="77" t="s">
        <v>795</v>
      </c>
      <c r="J881" s="90">
        <v>1</v>
      </c>
      <c r="K881" s="91">
        <v>1</v>
      </c>
      <c r="L881" s="77" t="s">
        <v>6565</v>
      </c>
      <c r="M881" s="78">
        <v>1327.6935000000001</v>
      </c>
      <c r="N881" s="79">
        <v>56.590209999999999</v>
      </c>
      <c r="O881" s="79">
        <v>172.42771999999999</v>
      </c>
      <c r="P881" s="79">
        <v>20116.568190000002</v>
      </c>
      <c r="Q881" s="77"/>
      <c r="R881" s="77"/>
      <c r="S881" s="77"/>
      <c r="T881" s="77"/>
      <c r="U881" s="77"/>
      <c r="V881" s="87"/>
      <c r="W881" s="87"/>
      <c r="X881" s="87"/>
      <c r="Y881" s="77"/>
      <c r="Z881" s="88"/>
      <c r="AA881" s="35"/>
      <c r="AB881" s="35"/>
    </row>
    <row r="882" spans="1:28" x14ac:dyDescent="0.25">
      <c r="A882" s="68" t="str">
        <f t="shared" si="42"/>
        <v>411166</v>
      </c>
      <c r="B882" s="10">
        <f t="shared" si="43"/>
        <v>844.38239999999996</v>
      </c>
      <c r="C882" s="77" t="s">
        <v>5493</v>
      </c>
      <c r="D882" s="191" t="str">
        <f t="shared" si="41"/>
        <v>TL-ovladač dimLED OVM ALLMIX 4KM</v>
      </c>
      <c r="E882" s="77" t="s">
        <v>3649</v>
      </c>
      <c r="F882" s="77" t="s">
        <v>3650</v>
      </c>
      <c r="G882" s="77" t="s">
        <v>3652</v>
      </c>
      <c r="H882" s="77" t="s">
        <v>3651</v>
      </c>
      <c r="I882" s="77" t="s">
        <v>795</v>
      </c>
      <c r="J882" s="90">
        <v>1</v>
      </c>
      <c r="K882" s="91">
        <v>1</v>
      </c>
      <c r="L882" s="77" t="s">
        <v>6565</v>
      </c>
      <c r="M882" s="78">
        <v>844.38239999999996</v>
      </c>
      <c r="N882" s="79">
        <v>35.990079999999999</v>
      </c>
      <c r="O882" s="79">
        <v>112.24572000000001</v>
      </c>
      <c r="P882" s="79">
        <v>12793.67272</v>
      </c>
      <c r="Q882" s="77"/>
      <c r="R882" s="77"/>
      <c r="S882" s="77"/>
      <c r="T882" s="77"/>
      <c r="U882" s="77"/>
      <c r="V882" s="87"/>
      <c r="W882" s="87"/>
      <c r="X882" s="87"/>
      <c r="Y882" s="77"/>
      <c r="Z882" s="88"/>
      <c r="AA882" s="35"/>
      <c r="AB882" s="35"/>
    </row>
    <row r="883" spans="1:28" x14ac:dyDescent="0.25">
      <c r="A883" s="68" t="str">
        <f t="shared" si="42"/>
        <v>359919</v>
      </c>
      <c r="B883" s="10">
        <f t="shared" si="43"/>
        <v>467.03318999999999</v>
      </c>
      <c r="C883" s="77" t="s">
        <v>5494</v>
      </c>
      <c r="D883" s="191" t="str">
        <f t="shared" si="41"/>
        <v>TL-přijímač dimLED PR 1KRF</v>
      </c>
      <c r="E883" s="77" t="s">
        <v>3653</v>
      </c>
      <c r="F883" s="77" t="s">
        <v>3654</v>
      </c>
      <c r="G883" s="77" t="s">
        <v>3656</v>
      </c>
      <c r="H883" s="77" t="s">
        <v>3655</v>
      </c>
      <c r="I883" s="77" t="s">
        <v>795</v>
      </c>
      <c r="J883" s="90">
        <v>1</v>
      </c>
      <c r="K883" s="91">
        <v>1</v>
      </c>
      <c r="L883" s="77" t="s">
        <v>227</v>
      </c>
      <c r="M883" s="78">
        <v>467.03318999999999</v>
      </c>
      <c r="N883" s="79">
        <v>19.906320000000001</v>
      </c>
      <c r="O883" s="79">
        <v>60.653660000000002</v>
      </c>
      <c r="P883" s="79">
        <v>7076.2604600000004</v>
      </c>
      <c r="Q883" s="77"/>
      <c r="R883" s="77"/>
      <c r="S883" s="77"/>
      <c r="T883" s="77"/>
      <c r="U883" s="77"/>
      <c r="V883" s="87"/>
      <c r="W883" s="87"/>
      <c r="X883" s="87"/>
      <c r="Y883" s="77"/>
      <c r="Z883" s="88"/>
      <c r="AA883" s="35"/>
      <c r="AB883" s="35"/>
    </row>
    <row r="884" spans="1:28" x14ac:dyDescent="0.25">
      <c r="A884" s="68" t="str">
        <f t="shared" si="42"/>
        <v>375103</v>
      </c>
      <c r="B884" s="10">
        <f t="shared" si="43"/>
        <v>499.83476999999999</v>
      </c>
      <c r="C884" s="77" t="s">
        <v>5495</v>
      </c>
      <c r="D884" s="191" t="str">
        <f t="shared" si="41"/>
        <v>TL-přijímač dimLED PR CCT1</v>
      </c>
      <c r="E884" s="77" t="s">
        <v>3657</v>
      </c>
      <c r="F884" s="77" t="s">
        <v>3658</v>
      </c>
      <c r="G884" s="77" t="s">
        <v>3660</v>
      </c>
      <c r="H884" s="77" t="s">
        <v>3659</v>
      </c>
      <c r="I884" s="77" t="s">
        <v>795</v>
      </c>
      <c r="J884" s="90">
        <v>1</v>
      </c>
      <c r="K884" s="91">
        <v>1</v>
      </c>
      <c r="L884" s="77" t="s">
        <v>6565</v>
      </c>
      <c r="M884" s="78">
        <v>499.83476999999999</v>
      </c>
      <c r="N884" s="79">
        <v>21.30442</v>
      </c>
      <c r="O884" s="79">
        <v>64.913600000000002</v>
      </c>
      <c r="P884" s="79">
        <v>7573.2540799999997</v>
      </c>
      <c r="Q884" s="77"/>
      <c r="R884" s="77"/>
      <c r="S884" s="77"/>
      <c r="T884" s="77"/>
      <c r="U884" s="77"/>
      <c r="V884" s="87"/>
      <c r="W884" s="87"/>
      <c r="X884" s="87"/>
      <c r="Y884" s="77"/>
      <c r="Z884" s="88"/>
      <c r="AA884" s="35"/>
      <c r="AB884" s="35"/>
    </row>
    <row r="885" spans="1:28" x14ac:dyDescent="0.25">
      <c r="A885" s="68" t="str">
        <f t="shared" si="42"/>
        <v>360650</v>
      </c>
      <c r="B885" s="10">
        <f t="shared" si="43"/>
        <v>546.69416999999999</v>
      </c>
      <c r="C885" s="77" t="s">
        <v>5496</v>
      </c>
      <c r="D885" s="191" t="str">
        <f t="shared" si="41"/>
        <v>TL-přijímač dimLED PR RGB1</v>
      </c>
      <c r="E885" s="77" t="s">
        <v>3661</v>
      </c>
      <c r="F885" s="77" t="s">
        <v>3662</v>
      </c>
      <c r="G885" s="77" t="s">
        <v>3664</v>
      </c>
      <c r="H885" s="77" t="s">
        <v>3663</v>
      </c>
      <c r="I885" s="77" t="s">
        <v>795</v>
      </c>
      <c r="J885" s="90">
        <v>1</v>
      </c>
      <c r="K885" s="91">
        <v>1</v>
      </c>
      <c r="L885" s="77" t="s">
        <v>227</v>
      </c>
      <c r="M885" s="78">
        <v>546.69416999999999</v>
      </c>
      <c r="N885" s="79">
        <v>23.301739999999999</v>
      </c>
      <c r="O885" s="79">
        <v>70.99924</v>
      </c>
      <c r="P885" s="79">
        <v>8283.2450100000005</v>
      </c>
      <c r="Q885" s="77"/>
      <c r="R885" s="77"/>
      <c r="S885" s="77"/>
      <c r="T885" s="77"/>
      <c r="U885" s="77"/>
      <c r="V885" s="87"/>
      <c r="W885" s="87"/>
      <c r="X885" s="87"/>
      <c r="Y885" s="77"/>
      <c r="Z885" s="88"/>
      <c r="AA885" s="35"/>
      <c r="AB885" s="35"/>
    </row>
    <row r="886" spans="1:28" x14ac:dyDescent="0.25">
      <c r="A886" s="68" t="str">
        <f t="shared" si="42"/>
        <v>378069</v>
      </c>
      <c r="B886" s="10">
        <f t="shared" si="43"/>
        <v>968.42970000000003</v>
      </c>
      <c r="C886" s="77" t="s">
        <v>5497</v>
      </c>
      <c r="D886" s="191" t="str">
        <f t="shared" si="41"/>
        <v>TL-přijímač dimLED PR RGB2</v>
      </c>
      <c r="E886" s="77" t="s">
        <v>3665</v>
      </c>
      <c r="F886" s="77" t="s">
        <v>3666</v>
      </c>
      <c r="G886" s="77" t="s">
        <v>3668</v>
      </c>
      <c r="H886" s="77" t="s">
        <v>3667</v>
      </c>
      <c r="I886" s="77" t="s">
        <v>795</v>
      </c>
      <c r="J886" s="90">
        <v>1</v>
      </c>
      <c r="K886" s="91">
        <v>1</v>
      </c>
      <c r="L886" s="77" t="s">
        <v>6565</v>
      </c>
      <c r="M886" s="78">
        <v>968.42970000000003</v>
      </c>
      <c r="N886" s="79">
        <v>41.277349999999998</v>
      </c>
      <c r="O886" s="79">
        <v>128.73562000000001</v>
      </c>
      <c r="P886" s="79">
        <v>14673.17729</v>
      </c>
      <c r="Q886" s="77"/>
      <c r="R886" s="77"/>
      <c r="S886" s="77"/>
      <c r="T886" s="77"/>
      <c r="U886" s="77"/>
      <c r="V886" s="87"/>
      <c r="W886" s="87"/>
      <c r="X886" s="87"/>
      <c r="Y886" s="77"/>
      <c r="Z886" s="88"/>
      <c r="AA886" s="35"/>
      <c r="AB886" s="35"/>
    </row>
    <row r="887" spans="1:28" x14ac:dyDescent="0.25">
      <c r="A887" s="68" t="str">
        <f t="shared" si="42"/>
        <v>399117</v>
      </c>
      <c r="B887" s="10">
        <f t="shared" si="43"/>
        <v>859.09100999999998</v>
      </c>
      <c r="C887" s="77" t="s">
        <v>5498</v>
      </c>
      <c r="D887" s="191" t="str">
        <f t="shared" si="41"/>
        <v>TL-přijímač dimLED PR RGBW2</v>
      </c>
      <c r="E887" s="77" t="s">
        <v>3669</v>
      </c>
      <c r="F887" s="77" t="s">
        <v>3670</v>
      </c>
      <c r="G887" s="77" t="s">
        <v>3664</v>
      </c>
      <c r="H887" s="77" t="s">
        <v>6537</v>
      </c>
      <c r="I887" s="77" t="s">
        <v>795</v>
      </c>
      <c r="J887" s="90">
        <v>1</v>
      </c>
      <c r="K887" s="91">
        <v>1</v>
      </c>
      <c r="L887" s="77" t="s">
        <v>6565</v>
      </c>
      <c r="M887" s="78">
        <v>859.09100999999998</v>
      </c>
      <c r="N887" s="79">
        <v>36.616999999999997</v>
      </c>
      <c r="O887" s="79">
        <v>111.57026</v>
      </c>
      <c r="P887" s="79">
        <v>13016.53046</v>
      </c>
      <c r="Q887" s="77"/>
      <c r="R887" s="77"/>
      <c r="S887" s="77"/>
      <c r="T887" s="77"/>
      <c r="U887" s="77"/>
      <c r="V887" s="87"/>
      <c r="W887" s="87"/>
      <c r="X887" s="87"/>
      <c r="Y887" s="77"/>
      <c r="Z887" s="88"/>
      <c r="AA887" s="35"/>
      <c r="AB887" s="35"/>
    </row>
    <row r="888" spans="1:28" x14ac:dyDescent="0.25">
      <c r="A888" s="68" t="str">
        <f t="shared" si="42"/>
        <v>399114</v>
      </c>
      <c r="B888" s="10">
        <f t="shared" si="43"/>
        <v>24.991679999999999</v>
      </c>
      <c r="C888" s="77" t="s">
        <v>5499</v>
      </c>
      <c r="D888" s="191" t="str">
        <f t="shared" si="41"/>
        <v>TL-připojovací RGBW kabel 15 cm</v>
      </c>
      <c r="E888" s="77" t="s">
        <v>3671</v>
      </c>
      <c r="F888" s="77" t="s">
        <v>3672</v>
      </c>
      <c r="G888" s="77" t="s">
        <v>3674</v>
      </c>
      <c r="H888" s="77" t="s">
        <v>3673</v>
      </c>
      <c r="I888" s="77" t="s">
        <v>795</v>
      </c>
      <c r="J888" s="90">
        <v>100</v>
      </c>
      <c r="K888" s="91">
        <v>1</v>
      </c>
      <c r="L888" s="77" t="s">
        <v>6565</v>
      </c>
      <c r="M888" s="78">
        <v>24.991679999999999</v>
      </c>
      <c r="N888" s="79">
        <v>1.0699799999999999</v>
      </c>
      <c r="O888" s="79">
        <v>3.70919</v>
      </c>
      <c r="P888" s="79">
        <v>368.94170000000003</v>
      </c>
      <c r="Q888" s="77"/>
      <c r="R888" s="77"/>
      <c r="S888" s="77"/>
      <c r="T888" s="77"/>
      <c r="U888" s="77"/>
      <c r="V888" s="87"/>
      <c r="W888" s="87"/>
      <c r="X888" s="87"/>
      <c r="Y888" s="77"/>
      <c r="Z888" s="88"/>
      <c r="AA888" s="35"/>
      <c r="AB888" s="35"/>
    </row>
    <row r="889" spans="1:28" x14ac:dyDescent="0.25">
      <c r="A889" s="68" t="str">
        <f t="shared" si="42"/>
        <v>245927</v>
      </c>
      <c r="B889" s="10">
        <f t="shared" si="43"/>
        <v>16.735949999999999</v>
      </c>
      <c r="C889" s="77" t="s">
        <v>5500</v>
      </c>
      <c r="D889" s="191" t="str">
        <f t="shared" si="41"/>
        <v>V-koncovky k liště Groove 10 černá (pár) (516780)</v>
      </c>
      <c r="E889" s="77" t="s">
        <v>3675</v>
      </c>
      <c r="F889" s="77" t="s">
        <v>3676</v>
      </c>
      <c r="G889" s="77" t="s">
        <v>3678</v>
      </c>
      <c r="H889" s="77" t="s">
        <v>3677</v>
      </c>
      <c r="I889" s="77" t="s">
        <v>1463</v>
      </c>
      <c r="J889" s="90">
        <v>100</v>
      </c>
      <c r="K889" s="91">
        <v>1</v>
      </c>
      <c r="L889" s="77" t="s">
        <v>6566</v>
      </c>
      <c r="M889" s="78">
        <v>16.735949999999999</v>
      </c>
      <c r="N889" s="79">
        <v>0.65973999999999999</v>
      </c>
      <c r="O889" s="79">
        <v>1.9567600000000001</v>
      </c>
      <c r="P889" s="79">
        <v>237.1875</v>
      </c>
      <c r="Q889" s="77"/>
      <c r="R889" s="77"/>
      <c r="S889" s="77"/>
      <c r="T889" s="77"/>
      <c r="U889" s="77"/>
      <c r="V889" s="87"/>
      <c r="W889" s="87"/>
      <c r="X889" s="87"/>
      <c r="Y889" s="77"/>
      <c r="Z889" s="88"/>
      <c r="AA889" s="35"/>
      <c r="AB889" s="35"/>
    </row>
    <row r="890" spans="1:28" x14ac:dyDescent="0.25">
      <c r="A890" s="68" t="str">
        <f t="shared" si="42"/>
        <v>245928</v>
      </c>
      <c r="B890" s="10">
        <f t="shared" si="43"/>
        <v>17.243099999999998</v>
      </c>
      <c r="C890" s="77" t="s">
        <v>5501</v>
      </c>
      <c r="D890" s="191" t="str">
        <f t="shared" si="41"/>
        <v>V-koncovky k liště Surface černá (pár) (516777)</v>
      </c>
      <c r="E890" s="77" t="s">
        <v>3679</v>
      </c>
      <c r="F890" s="77" t="s">
        <v>3680</v>
      </c>
      <c r="G890" s="77" t="s">
        <v>3682</v>
      </c>
      <c r="H890" s="77" t="s">
        <v>3681</v>
      </c>
      <c r="I890" s="77" t="s">
        <v>1463</v>
      </c>
      <c r="J890" s="90">
        <v>100</v>
      </c>
      <c r="K890" s="91">
        <v>1</v>
      </c>
      <c r="L890" s="77" t="s">
        <v>6566</v>
      </c>
      <c r="M890" s="78">
        <v>17.243099999999998</v>
      </c>
      <c r="N890" s="79">
        <v>0.67972999999999995</v>
      </c>
      <c r="O890" s="79">
        <v>1.7565200000000001</v>
      </c>
      <c r="P890" s="79">
        <v>244.37501</v>
      </c>
      <c r="Q890" s="77"/>
      <c r="R890" s="77"/>
      <c r="S890" s="77"/>
      <c r="T890" s="77"/>
      <c r="U890" s="77"/>
      <c r="V890" s="87"/>
      <c r="W890" s="87"/>
      <c r="X890" s="87"/>
      <c r="Y890" s="77"/>
      <c r="Z890" s="88"/>
      <c r="AA890" s="35"/>
      <c r="AB890" s="35"/>
    </row>
    <row r="891" spans="1:28" x14ac:dyDescent="0.25">
      <c r="A891" s="68" t="str">
        <f t="shared" si="42"/>
        <v>269014</v>
      </c>
      <c r="B891" s="10">
        <f t="shared" si="43"/>
        <v>727.06242999999995</v>
      </c>
      <c r="C891" s="77" t="s">
        <v>5502</v>
      </c>
      <c r="D891" s="191" t="str">
        <f t="shared" si="41"/>
        <v>V-LED světlo 600mm s vypínačem Kitzberger neutrální bílá</v>
      </c>
      <c r="E891" s="77" t="s">
        <v>3683</v>
      </c>
      <c r="F891" s="77" t="s">
        <v>3684</v>
      </c>
      <c r="G891" s="77" t="s">
        <v>3686</v>
      </c>
      <c r="H891" s="77" t="s">
        <v>3685</v>
      </c>
      <c r="I891" s="77" t="s">
        <v>795</v>
      </c>
      <c r="J891" s="90">
        <v>1</v>
      </c>
      <c r="K891" s="91">
        <v>1</v>
      </c>
      <c r="L891" s="77" t="s">
        <v>6566</v>
      </c>
      <c r="M891" s="78">
        <v>727.06242999999995</v>
      </c>
      <c r="N891" s="79">
        <v>33.23715</v>
      </c>
      <c r="O891" s="79">
        <v>107.66081</v>
      </c>
      <c r="P891" s="79">
        <v>11802.961450000001</v>
      </c>
      <c r="Q891" s="77"/>
      <c r="R891" s="77"/>
      <c r="S891" s="77"/>
      <c r="T891" s="77"/>
      <c r="U891" s="77"/>
      <c r="V891" s="87"/>
      <c r="W891" s="87"/>
      <c r="X891" s="87"/>
      <c r="Y891" s="77"/>
      <c r="Z891" s="88"/>
      <c r="AA891" s="35"/>
      <c r="AB891" s="35"/>
    </row>
    <row r="892" spans="1:28" x14ac:dyDescent="0.25">
      <c r="A892" s="68" t="str">
        <f t="shared" si="42"/>
        <v>413580</v>
      </c>
      <c r="B892" s="10">
        <f t="shared" si="43"/>
        <v>1104.4000000000001</v>
      </c>
      <c r="C892" s="77" t="s">
        <v>5503</v>
      </c>
      <c r="D892" s="191" t="str">
        <f t="shared" si="41"/>
        <v>V-LED světlo B2B 1444mm Corner vypínač neutrální bílá, trafo 30W</v>
      </c>
      <c r="E892" s="77" t="s">
        <v>3687</v>
      </c>
      <c r="F892" s="77" t="s">
        <v>890</v>
      </c>
      <c r="G892" s="77" t="s">
        <v>890</v>
      </c>
      <c r="H892" s="77" t="s">
        <v>890</v>
      </c>
      <c r="I892" s="77" t="s">
        <v>795</v>
      </c>
      <c r="J892" s="90">
        <v>1</v>
      </c>
      <c r="K892" s="91">
        <v>1</v>
      </c>
      <c r="L892" s="77" t="s">
        <v>6566</v>
      </c>
      <c r="M892" s="78">
        <v>1104.4000000000001</v>
      </c>
      <c r="N892" s="79">
        <v>50.486849999999997</v>
      </c>
      <c r="O892" s="79">
        <v>185.92982000000001</v>
      </c>
      <c r="P892" s="79">
        <v>17928.57143</v>
      </c>
      <c r="Q892" s="77"/>
      <c r="R892" s="77"/>
      <c r="S892" s="77"/>
      <c r="T892" s="77"/>
      <c r="U892" s="77"/>
      <c r="V892" s="87"/>
      <c r="W892" s="87"/>
      <c r="X892" s="87"/>
      <c r="Y892" s="77"/>
      <c r="Z892" s="88"/>
      <c r="AA892" s="35"/>
      <c r="AB892" s="35"/>
    </row>
    <row r="893" spans="1:28" x14ac:dyDescent="0.25">
      <c r="A893" s="68" t="str">
        <f t="shared" si="42"/>
        <v>413581</v>
      </c>
      <c r="B893" s="10">
        <f t="shared" si="43"/>
        <v>1235.6575</v>
      </c>
      <c r="C893" s="77" t="s">
        <v>5504</v>
      </c>
      <c r="D893" s="191" t="str">
        <f t="shared" si="41"/>
        <v>V-LED světlo B2B 1925mm Corner vypínač neutrální bílá, trafo 30W</v>
      </c>
      <c r="E893" s="77" t="s">
        <v>3688</v>
      </c>
      <c r="F893" s="77" t="s">
        <v>890</v>
      </c>
      <c r="G893" s="77" t="s">
        <v>890</v>
      </c>
      <c r="H893" s="77" t="s">
        <v>890</v>
      </c>
      <c r="I893" s="77" t="s">
        <v>795</v>
      </c>
      <c r="J893" s="90">
        <v>1</v>
      </c>
      <c r="K893" s="91">
        <v>1</v>
      </c>
      <c r="L893" s="77" t="s">
        <v>6566</v>
      </c>
      <c r="M893" s="78">
        <v>1235.6575</v>
      </c>
      <c r="N893" s="79">
        <v>56.487200000000001</v>
      </c>
      <c r="O893" s="79">
        <v>208.02749</v>
      </c>
      <c r="P893" s="79">
        <v>20059.375</v>
      </c>
      <c r="Q893" s="77"/>
      <c r="R893" s="77"/>
      <c r="S893" s="77"/>
      <c r="T893" s="77"/>
      <c r="U893" s="77"/>
      <c r="V893" s="87"/>
      <c r="W893" s="87"/>
      <c r="X893" s="87"/>
      <c r="Y893" s="77"/>
      <c r="Z893" s="88"/>
      <c r="AA893" s="35"/>
      <c r="AB893" s="35"/>
    </row>
    <row r="894" spans="1:28" x14ac:dyDescent="0.25">
      <c r="A894" s="68" t="str">
        <f t="shared" si="42"/>
        <v>413579</v>
      </c>
      <c r="B894" s="10">
        <f t="shared" si="43"/>
        <v>926.99749999999995</v>
      </c>
      <c r="C894" s="77" t="s">
        <v>5505</v>
      </c>
      <c r="D894" s="191" t="str">
        <f t="shared" si="41"/>
        <v>V-LED světlo B2B 962mm Corner vypínač neutrální bílá, trafo 18W</v>
      </c>
      <c r="E894" s="77" t="s">
        <v>3689</v>
      </c>
      <c r="F894" s="77" t="s">
        <v>890</v>
      </c>
      <c r="G894" s="77" t="s">
        <v>890</v>
      </c>
      <c r="H894" s="77" t="s">
        <v>890</v>
      </c>
      <c r="I894" s="77" t="s">
        <v>795</v>
      </c>
      <c r="J894" s="90">
        <v>1</v>
      </c>
      <c r="K894" s="91">
        <v>1</v>
      </c>
      <c r="L894" s="77" t="s">
        <v>6566</v>
      </c>
      <c r="M894" s="78">
        <v>926.99749999999995</v>
      </c>
      <c r="N894" s="79">
        <v>42.377029999999998</v>
      </c>
      <c r="O894" s="79">
        <v>135.07952</v>
      </c>
      <c r="P894" s="79">
        <v>15048.66073</v>
      </c>
      <c r="Q894" s="77"/>
      <c r="R894" s="77"/>
      <c r="S894" s="77"/>
      <c r="T894" s="77"/>
      <c r="U894" s="77"/>
      <c r="V894" s="87"/>
      <c r="W894" s="87"/>
      <c r="X894" s="87"/>
      <c r="Y894" s="77"/>
      <c r="Z894" s="88"/>
      <c r="AA894" s="35"/>
      <c r="AB894" s="35"/>
    </row>
    <row r="895" spans="1:28" x14ac:dyDescent="0.25">
      <c r="A895" s="68" t="str">
        <f t="shared" si="42"/>
        <v>472742</v>
      </c>
      <c r="B895" s="10">
        <f t="shared" si="43"/>
        <v>995.4</v>
      </c>
      <c r="C895" s="77" t="s">
        <v>5506</v>
      </c>
      <c r="D895" s="191" t="str">
        <f t="shared" si="41"/>
        <v>V-LED světlo MBG Sada 1, Groove 2x 940mm, studená bílá, trafo 30W</v>
      </c>
      <c r="E895" s="77" t="s">
        <v>3690</v>
      </c>
      <c r="F895" s="77" t="s">
        <v>890</v>
      </c>
      <c r="G895" s="77" t="s">
        <v>890</v>
      </c>
      <c r="H895" s="77" t="s">
        <v>890</v>
      </c>
      <c r="I895" s="77" t="s">
        <v>795</v>
      </c>
      <c r="J895" s="90">
        <v>1</v>
      </c>
      <c r="K895" s="91">
        <v>1</v>
      </c>
      <c r="L895" s="77" t="s">
        <v>6566</v>
      </c>
      <c r="M895" s="78">
        <v>995.4</v>
      </c>
      <c r="N895" s="79">
        <v>45.503999999999998</v>
      </c>
      <c r="O895" s="79">
        <v>167.57927000000001</v>
      </c>
      <c r="P895" s="79">
        <v>16159.090899999999</v>
      </c>
      <c r="Q895" s="77"/>
      <c r="R895" s="77"/>
      <c r="S895" s="77"/>
      <c r="T895" s="77"/>
      <c r="U895" s="77"/>
      <c r="V895" s="87"/>
      <c r="W895" s="87"/>
      <c r="X895" s="87"/>
      <c r="Y895" s="77"/>
      <c r="Z895" s="88"/>
      <c r="AA895" s="35"/>
      <c r="AB895" s="35"/>
    </row>
    <row r="896" spans="1:28" x14ac:dyDescent="0.25">
      <c r="A896" s="68" t="str">
        <f t="shared" si="42"/>
        <v>472746</v>
      </c>
      <c r="B896" s="10">
        <f t="shared" si="43"/>
        <v>1728.15</v>
      </c>
      <c r="C896" s="77" t="s">
        <v>5507</v>
      </c>
      <c r="D896" s="191" t="str">
        <f t="shared" si="41"/>
        <v>V-LED světlo MBG Sada 2, Groove 2x 940mm+1x 1138mm, studená bílá, trafo 60W</v>
      </c>
      <c r="E896" s="77" t="s">
        <v>3691</v>
      </c>
      <c r="F896" s="77" t="s">
        <v>890</v>
      </c>
      <c r="G896" s="77" t="s">
        <v>890</v>
      </c>
      <c r="H896" s="77" t="s">
        <v>890</v>
      </c>
      <c r="I896" s="77" t="s">
        <v>795</v>
      </c>
      <c r="J896" s="90">
        <v>1</v>
      </c>
      <c r="K896" s="91">
        <v>1</v>
      </c>
      <c r="L896" s="77" t="s">
        <v>6566</v>
      </c>
      <c r="M896" s="78">
        <v>1728.15</v>
      </c>
      <c r="N896" s="79">
        <v>79.001130000000003</v>
      </c>
      <c r="O896" s="79">
        <v>290.94042999999999</v>
      </c>
      <c r="P896" s="79">
        <v>28054.383129999998</v>
      </c>
      <c r="Q896" s="77"/>
      <c r="R896" s="77"/>
      <c r="S896" s="77"/>
      <c r="T896" s="77"/>
      <c r="U896" s="77"/>
      <c r="V896" s="87"/>
      <c r="W896" s="87"/>
      <c r="X896" s="87"/>
      <c r="Y896" s="77"/>
      <c r="Z896" s="88"/>
      <c r="AA896" s="35"/>
      <c r="AB896" s="35"/>
    </row>
    <row r="897" spans="1:28" x14ac:dyDescent="0.25">
      <c r="A897" s="68" t="str">
        <f t="shared" si="42"/>
        <v>472753</v>
      </c>
      <c r="B897" s="10">
        <f t="shared" si="43"/>
        <v>941.72500000000002</v>
      </c>
      <c r="C897" s="77" t="s">
        <v>5508</v>
      </c>
      <c r="D897" s="191" t="str">
        <f t="shared" si="41"/>
        <v>V-LED světlo MBG Sada 4, Smart10 2x 475mm+1x 575mm, studená bílá, trafo 30W</v>
      </c>
      <c r="E897" s="77" t="s">
        <v>3692</v>
      </c>
      <c r="F897" s="77" t="s">
        <v>890</v>
      </c>
      <c r="G897" s="77" t="s">
        <v>890</v>
      </c>
      <c r="H897" s="77" t="s">
        <v>890</v>
      </c>
      <c r="I897" s="77" t="s">
        <v>795</v>
      </c>
      <c r="J897" s="90">
        <v>1</v>
      </c>
      <c r="K897" s="91">
        <v>1</v>
      </c>
      <c r="L897" s="77" t="s">
        <v>6566</v>
      </c>
      <c r="M897" s="78">
        <v>941.72500000000002</v>
      </c>
      <c r="N897" s="79">
        <v>43.050280000000001</v>
      </c>
      <c r="O897" s="79">
        <v>158.54288</v>
      </c>
      <c r="P897" s="79">
        <v>15287.7435</v>
      </c>
      <c r="Q897" s="77"/>
      <c r="R897" s="77"/>
      <c r="S897" s="77"/>
      <c r="T897" s="77"/>
      <c r="U897" s="77"/>
      <c r="V897" s="87"/>
      <c r="W897" s="87"/>
      <c r="X897" s="87"/>
      <c r="Y897" s="77"/>
      <c r="Z897" s="88"/>
      <c r="AA897" s="35"/>
      <c r="AB897" s="35"/>
    </row>
    <row r="898" spans="1:28" x14ac:dyDescent="0.25">
      <c r="A898" s="68" t="str">
        <f t="shared" si="42"/>
        <v>548085</v>
      </c>
      <c r="B898" s="10">
        <f t="shared" si="43"/>
        <v>4614.75</v>
      </c>
      <c r="C898" s="77" t="s">
        <v>5509</v>
      </c>
      <c r="D898" s="191" t="str">
        <f t="shared" si="41"/>
        <v>V-MEAN WELL napájecí zdroj HLG-320H-24-A, 24V, 320W, IP67 (482686)</v>
      </c>
      <c r="E898" s="77" t="s">
        <v>3693</v>
      </c>
      <c r="F898" s="77" t="s">
        <v>3694</v>
      </c>
      <c r="G898" s="77" t="s">
        <v>3695</v>
      </c>
      <c r="H898" s="77" t="s">
        <v>1029</v>
      </c>
      <c r="I898" s="77" t="s">
        <v>795</v>
      </c>
      <c r="J898" s="90">
        <v>1</v>
      </c>
      <c r="K898" s="91">
        <v>1</v>
      </c>
      <c r="L898" s="77" t="s">
        <v>6566</v>
      </c>
      <c r="M898" s="78">
        <v>4614.75</v>
      </c>
      <c r="N898" s="79">
        <v>196.69426000000001</v>
      </c>
      <c r="O898" s="79">
        <v>586.32000000000005</v>
      </c>
      <c r="P898" s="79">
        <v>0</v>
      </c>
      <c r="Q898" s="77"/>
      <c r="R898" s="77"/>
      <c r="S898" s="77"/>
      <c r="T898" s="77"/>
      <c r="U898" s="77"/>
      <c r="V898" s="87"/>
      <c r="W898" s="87"/>
      <c r="X898" s="87"/>
      <c r="Y898" s="77"/>
      <c r="Z898" s="88"/>
      <c r="AA898" s="35"/>
      <c r="AB898" s="35"/>
    </row>
    <row r="899" spans="1:28" x14ac:dyDescent="0.25">
      <c r="A899" s="68" t="str">
        <f t="shared" si="42"/>
        <v>549851</v>
      </c>
      <c r="B899" s="10">
        <f t="shared" si="43"/>
        <v>1487.7449999999999</v>
      </c>
      <c r="C899" s="77" t="s">
        <v>5510</v>
      </c>
      <c r="D899" s="191" t="str">
        <f t="shared" ref="D899:D962" si="44">IF($B$1=1,E899,IF($B$1=2,F899,IF($B$1=3,G899,IF($B$1=4,H899))))</f>
        <v>V-MEAN WELL napájecí zdroj XLG-150-24-A, 24V, 150W, IP67 (482670)</v>
      </c>
      <c r="E899" s="77" t="s">
        <v>3696</v>
      </c>
      <c r="F899" s="77" t="s">
        <v>3697</v>
      </c>
      <c r="G899" s="77" t="s">
        <v>3699</v>
      </c>
      <c r="H899" s="77" t="s">
        <v>3698</v>
      </c>
      <c r="I899" s="77" t="s">
        <v>795</v>
      </c>
      <c r="J899" s="90">
        <v>1</v>
      </c>
      <c r="K899" s="91">
        <v>1</v>
      </c>
      <c r="L899" s="77" t="s">
        <v>6566</v>
      </c>
      <c r="M899" s="78">
        <v>1487.7449999999999</v>
      </c>
      <c r="N899" s="79">
        <v>65.318619999999996</v>
      </c>
      <c r="O899" s="79">
        <v>0</v>
      </c>
      <c r="P899" s="79">
        <v>0</v>
      </c>
      <c r="Q899" s="77"/>
      <c r="R899" s="77"/>
      <c r="S899" s="77"/>
      <c r="T899" s="77"/>
      <c r="U899" s="77"/>
      <c r="V899" s="87"/>
      <c r="W899" s="87"/>
      <c r="X899" s="87"/>
      <c r="Y899" s="77"/>
      <c r="Z899" s="88"/>
      <c r="AA899" s="35"/>
      <c r="AB899" s="35"/>
    </row>
    <row r="900" spans="1:28" x14ac:dyDescent="0.25">
      <c r="A900" s="68" t="str">
        <f t="shared" si="42"/>
        <v>549580</v>
      </c>
      <c r="B900" s="10">
        <f t="shared" si="43"/>
        <v>1840.86</v>
      </c>
      <c r="C900" s="77" t="s">
        <v>5511</v>
      </c>
      <c r="D900" s="191" t="str">
        <f t="shared" si="44"/>
        <v>V-MEAN WELL napájecí zdroj XLG-200-24-A, 24V, 200W, IP67 (482683)</v>
      </c>
      <c r="E900" s="77" t="s">
        <v>3700</v>
      </c>
      <c r="F900" s="77" t="s">
        <v>3701</v>
      </c>
      <c r="G900" s="77" t="s">
        <v>3703</v>
      </c>
      <c r="H900" s="77" t="s">
        <v>3702</v>
      </c>
      <c r="I900" s="77" t="s">
        <v>795</v>
      </c>
      <c r="J900" s="90">
        <v>1</v>
      </c>
      <c r="K900" s="91">
        <v>1</v>
      </c>
      <c r="L900" s="77" t="s">
        <v>6565</v>
      </c>
      <c r="M900" s="78">
        <v>1840.86</v>
      </c>
      <c r="N900" s="79">
        <v>78.462890000000002</v>
      </c>
      <c r="O900" s="79">
        <v>0</v>
      </c>
      <c r="P900" s="79">
        <v>0</v>
      </c>
      <c r="Q900" s="77"/>
      <c r="R900" s="77"/>
      <c r="S900" s="77"/>
      <c r="T900" s="77"/>
      <c r="U900" s="77"/>
      <c r="V900" s="87"/>
      <c r="W900" s="87"/>
      <c r="X900" s="87"/>
      <c r="Y900" s="77"/>
      <c r="Z900" s="88"/>
      <c r="AA900" s="35"/>
      <c r="AB900" s="35"/>
    </row>
    <row r="901" spans="1:28" x14ac:dyDescent="0.25">
      <c r="A901" s="68" t="str">
        <f t="shared" si="42"/>
        <v>498545</v>
      </c>
      <c r="B901" s="10">
        <f t="shared" si="43"/>
        <v>1840.86</v>
      </c>
      <c r="C901" s="77" t="s">
        <v>5512</v>
      </c>
      <c r="D901" s="191" t="str">
        <f t="shared" si="44"/>
        <v>V-napájecí zdroj MEAN WELL XLG-200-12-A, 12V, 200W, IP67 (482682)</v>
      </c>
      <c r="E901" s="77" t="s">
        <v>3704</v>
      </c>
      <c r="F901" s="77" t="s">
        <v>3705</v>
      </c>
      <c r="G901" s="77" t="s">
        <v>3707</v>
      </c>
      <c r="H901" s="77" t="s">
        <v>3706</v>
      </c>
      <c r="I901" s="77" t="s">
        <v>795</v>
      </c>
      <c r="J901" s="90">
        <v>1</v>
      </c>
      <c r="K901" s="91">
        <v>1</v>
      </c>
      <c r="L901" s="77" t="s">
        <v>6566</v>
      </c>
      <c r="M901" s="78">
        <v>1840.86</v>
      </c>
      <c r="N901" s="79">
        <v>78.142619999999994</v>
      </c>
      <c r="O901" s="79">
        <v>226.96</v>
      </c>
      <c r="P901" s="79">
        <v>27080.454549999999</v>
      </c>
      <c r="Q901" s="77"/>
      <c r="R901" s="77"/>
      <c r="S901" s="77"/>
      <c r="T901" s="77"/>
      <c r="U901" s="77"/>
      <c r="V901" s="87"/>
      <c r="W901" s="87"/>
      <c r="X901" s="87"/>
      <c r="Y901" s="77"/>
      <c r="Z901" s="88"/>
      <c r="AA901" s="35"/>
      <c r="AB901" s="35"/>
    </row>
    <row r="902" spans="1:28" x14ac:dyDescent="0.25">
      <c r="A902" s="68" t="str">
        <f t="shared" si="42"/>
        <v>310781</v>
      </c>
      <c r="B902" s="10">
        <f t="shared" si="43"/>
        <v>151.58715000000001</v>
      </c>
      <c r="C902" s="77" t="s">
        <v>5513</v>
      </c>
      <c r="D902" s="191" t="str">
        <f t="shared" si="44"/>
        <v>V-SAL rozvaděč LED 6x Mini konektor Jack 0,5m (285093)</v>
      </c>
      <c r="E902" s="77" t="s">
        <v>3708</v>
      </c>
      <c r="F902" s="77" t="s">
        <v>3709</v>
      </c>
      <c r="G902" s="77" t="s">
        <v>3711</v>
      </c>
      <c r="H902" s="77" t="s">
        <v>3710</v>
      </c>
      <c r="I902" s="77" t="s">
        <v>795</v>
      </c>
      <c r="J902" s="90">
        <v>100</v>
      </c>
      <c r="K902" s="91">
        <v>1</v>
      </c>
      <c r="L902" s="77" t="s">
        <v>6566</v>
      </c>
      <c r="M902" s="78">
        <v>151.58715000000001</v>
      </c>
      <c r="N902" s="79">
        <v>6.7741800000000003</v>
      </c>
      <c r="O902" s="79">
        <v>17.717400000000001</v>
      </c>
      <c r="P902" s="79">
        <v>1935.9843800000001</v>
      </c>
      <c r="Q902" s="77"/>
      <c r="R902" s="77"/>
      <c r="S902" s="77"/>
      <c r="T902" s="77"/>
      <c r="U902" s="77"/>
      <c r="V902" s="87"/>
      <c r="W902" s="87"/>
      <c r="X902" s="87"/>
      <c r="Y902" s="77"/>
      <c r="Z902" s="88"/>
      <c r="AA902" s="35"/>
      <c r="AB902" s="35"/>
    </row>
    <row r="903" spans="1:28" x14ac:dyDescent="0.25">
      <c r="A903" s="68" t="str">
        <f t="shared" si="42"/>
        <v>367624</v>
      </c>
      <c r="B903" s="10">
        <f t="shared" si="43"/>
        <v>146.07489000000001</v>
      </c>
      <c r="C903" s="77" t="s">
        <v>5514</v>
      </c>
      <c r="D903" s="191" t="str">
        <f t="shared" si="44"/>
        <v>V-SAL-rozvaděč LED 6x MINI - konektor MINI 0,25m (356328)</v>
      </c>
      <c r="E903" s="77" t="s">
        <v>3712</v>
      </c>
      <c r="F903" s="77" t="s">
        <v>3713</v>
      </c>
      <c r="G903" s="77" t="s">
        <v>3715</v>
      </c>
      <c r="H903" s="77" t="s">
        <v>3714</v>
      </c>
      <c r="I903" s="77" t="s">
        <v>795</v>
      </c>
      <c r="J903" s="90">
        <v>100</v>
      </c>
      <c r="K903" s="91">
        <v>1</v>
      </c>
      <c r="L903" s="77" t="s">
        <v>6566</v>
      </c>
      <c r="M903" s="78">
        <v>146.07489000000001</v>
      </c>
      <c r="N903" s="79">
        <v>6.5278700000000001</v>
      </c>
      <c r="O903" s="79">
        <v>13.73082</v>
      </c>
      <c r="P903" s="79">
        <v>1865.5849499999999</v>
      </c>
      <c r="Q903" s="77"/>
      <c r="R903" s="77"/>
      <c r="S903" s="77"/>
      <c r="T903" s="77"/>
      <c r="U903" s="77"/>
      <c r="V903" s="87"/>
      <c r="W903" s="87"/>
      <c r="X903" s="87"/>
      <c r="Y903" s="77"/>
      <c r="Z903" s="88"/>
      <c r="AA903" s="35"/>
      <c r="AB903" s="35"/>
    </row>
    <row r="904" spans="1:28" x14ac:dyDescent="0.25">
      <c r="A904" s="68" t="str">
        <f t="shared" si="42"/>
        <v>376379</v>
      </c>
      <c r="B904" s="10">
        <f t="shared" si="43"/>
        <v>244.56168</v>
      </c>
      <c r="C904" s="77" t="s">
        <v>5515</v>
      </c>
      <c r="D904" s="191" t="str">
        <f t="shared" si="44"/>
        <v>V-STRONG plus LED pásek 6W/m 24V CC CRI90 bílá neutrální 120 LED/m (355847)</v>
      </c>
      <c r="E904" s="77" t="s">
        <v>3716</v>
      </c>
      <c r="F904" s="77" t="s">
        <v>3717</v>
      </c>
      <c r="G904" s="77" t="s">
        <v>3719</v>
      </c>
      <c r="H904" s="77" t="s">
        <v>3718</v>
      </c>
      <c r="I904" s="77" t="s">
        <v>992</v>
      </c>
      <c r="J904" s="90">
        <v>12</v>
      </c>
      <c r="K904" s="91">
        <v>1</v>
      </c>
      <c r="L904" s="77" t="s">
        <v>160</v>
      </c>
      <c r="M904" s="78">
        <v>244.56168</v>
      </c>
      <c r="N904" s="79">
        <v>10.147309999999999</v>
      </c>
      <c r="O904" s="79">
        <v>78.646829999999994</v>
      </c>
      <c r="P904" s="79">
        <v>3414.1815499999998</v>
      </c>
      <c r="Q904" s="77"/>
      <c r="R904" s="77"/>
      <c r="S904" s="77"/>
      <c r="T904" s="77"/>
      <c r="U904" s="77"/>
      <c r="V904" s="87"/>
      <c r="W904" s="87"/>
      <c r="X904" s="87"/>
      <c r="Y904" s="77"/>
      <c r="Z904" s="88"/>
      <c r="AA904" s="35"/>
      <c r="AB904" s="35"/>
    </row>
    <row r="905" spans="1:28" x14ac:dyDescent="0.25">
      <c r="A905" s="68" t="str">
        <f t="shared" si="42"/>
        <v>548045</v>
      </c>
      <c r="B905" s="10">
        <f t="shared" si="43"/>
        <v>718.50823000000003</v>
      </c>
      <c r="C905" s="77" t="s">
        <v>5516</v>
      </c>
      <c r="D905" s="191" t="str">
        <f t="shared" si="44"/>
        <v>V-StrongLumio All in One unit 24V 100W (RGBCCT) (486293)</v>
      </c>
      <c r="E905" s="77" t="s">
        <v>3720</v>
      </c>
      <c r="F905" s="77" t="s">
        <v>3721</v>
      </c>
      <c r="G905" s="77" t="s">
        <v>3721</v>
      </c>
      <c r="H905" s="77" t="s">
        <v>3721</v>
      </c>
      <c r="I905" s="77" t="s">
        <v>889</v>
      </c>
      <c r="J905" s="90">
        <v>1</v>
      </c>
      <c r="K905" s="91">
        <v>1</v>
      </c>
      <c r="L905" s="77" t="s">
        <v>6566</v>
      </c>
      <c r="M905" s="78">
        <v>718.50823000000003</v>
      </c>
      <c r="N905" s="79">
        <v>0</v>
      </c>
      <c r="O905" s="79">
        <v>121.22579</v>
      </c>
      <c r="P905" s="79">
        <v>0</v>
      </c>
      <c r="Q905" s="77"/>
      <c r="R905" s="77"/>
      <c r="S905" s="77"/>
      <c r="T905" s="77"/>
      <c r="U905" s="77"/>
      <c r="V905" s="87"/>
      <c r="W905" s="87"/>
      <c r="X905" s="87"/>
      <c r="Y905" s="77"/>
      <c r="Z905" s="88"/>
      <c r="AA905" s="35"/>
      <c r="AB905" s="35"/>
    </row>
    <row r="906" spans="1:28" x14ac:dyDescent="0.25">
      <c r="A906" s="68" t="str">
        <f t="shared" si="42"/>
        <v>544506</v>
      </c>
      <c r="B906" s="10">
        <f t="shared" si="43"/>
        <v>636.70276999999999</v>
      </c>
      <c r="C906" s="77" t="s">
        <v>5517</v>
      </c>
      <c r="D906" s="191" t="str">
        <f t="shared" si="44"/>
        <v>V-StrongLumio All in One unit 24V 100W (stmívání) (486289)</v>
      </c>
      <c r="E906" s="77" t="s">
        <v>3722</v>
      </c>
      <c r="F906" s="77" t="s">
        <v>3723</v>
      </c>
      <c r="G906" s="77" t="s">
        <v>3725</v>
      </c>
      <c r="H906" s="77" t="s">
        <v>3724</v>
      </c>
      <c r="I906" s="77" t="s">
        <v>889</v>
      </c>
      <c r="J906" s="90">
        <v>1</v>
      </c>
      <c r="K906" s="91">
        <v>1</v>
      </c>
      <c r="L906" s="77" t="s">
        <v>6566</v>
      </c>
      <c r="M906" s="78">
        <v>636.70276999999999</v>
      </c>
      <c r="N906" s="79">
        <v>0</v>
      </c>
      <c r="O906" s="79">
        <v>119.88473999999999</v>
      </c>
      <c r="P906" s="79">
        <v>0</v>
      </c>
      <c r="Q906" s="77"/>
      <c r="R906" s="77"/>
      <c r="S906" s="77"/>
      <c r="T906" s="77"/>
      <c r="U906" s="77"/>
      <c r="V906" s="87"/>
      <c r="W906" s="87"/>
      <c r="X906" s="87"/>
      <c r="Y906" s="77"/>
      <c r="Z906" s="88"/>
      <c r="AA906" s="35"/>
      <c r="AB906" s="35"/>
    </row>
    <row r="907" spans="1:28" x14ac:dyDescent="0.25">
      <c r="A907" s="68" t="str">
        <f t="shared" si="42"/>
        <v>421501</v>
      </c>
      <c r="B907" s="10">
        <f t="shared" si="43"/>
        <v>598.29</v>
      </c>
      <c r="C907" s="77" t="s">
        <v>5518</v>
      </c>
      <c r="D907" s="191" t="str">
        <f t="shared" si="44"/>
        <v>V-StrongLumio bezdotykový senzor do profilu CCT 12-24V 8A (405195)</v>
      </c>
      <c r="E907" s="77" t="s">
        <v>3726</v>
      </c>
      <c r="F907" s="77" t="s">
        <v>3727</v>
      </c>
      <c r="G907" s="77" t="s">
        <v>794</v>
      </c>
      <c r="H907" s="77" t="s">
        <v>3728</v>
      </c>
      <c r="I907" s="77" t="s">
        <v>795</v>
      </c>
      <c r="J907" s="90">
        <v>1</v>
      </c>
      <c r="K907" s="91">
        <v>1</v>
      </c>
      <c r="L907" s="77" t="s">
        <v>6566</v>
      </c>
      <c r="M907" s="78">
        <v>598.29</v>
      </c>
      <c r="N907" s="79">
        <v>27.210840000000001</v>
      </c>
      <c r="O907" s="79">
        <v>81.221090000000004</v>
      </c>
      <c r="P907" s="79">
        <v>9855.9204699999991</v>
      </c>
      <c r="Q907" s="77"/>
      <c r="R907" s="77"/>
      <c r="S907" s="77"/>
      <c r="T907" s="77"/>
      <c r="U907" s="77"/>
      <c r="V907" s="87"/>
      <c r="W907" s="87"/>
      <c r="X907" s="87"/>
      <c r="Y907" s="77"/>
      <c r="Z907" s="88"/>
      <c r="AA907" s="35"/>
      <c r="AB907" s="35"/>
    </row>
    <row r="908" spans="1:28" x14ac:dyDescent="0.25">
      <c r="A908" s="68" t="str">
        <f t="shared" si="42"/>
        <v>557850</v>
      </c>
      <c r="B908" s="10">
        <f t="shared" si="43"/>
        <v>359.09055000000001</v>
      </c>
      <c r="C908" s="77" t="s">
        <v>6284</v>
      </c>
      <c r="D908" s="191" t="str">
        <f t="shared" si="44"/>
        <v>V-StrongLumio bezdotykový vyp./stmívač alu,12/24V 48/96W 4A Mini,černá(405918)</v>
      </c>
      <c r="E908" s="77" t="s">
        <v>6285</v>
      </c>
      <c r="F908" s="77" t="s">
        <v>1266</v>
      </c>
      <c r="G908" s="77" t="s">
        <v>1268</v>
      </c>
      <c r="H908" s="77" t="s">
        <v>1267</v>
      </c>
      <c r="I908" s="77" t="s">
        <v>795</v>
      </c>
      <c r="J908" s="90">
        <v>1</v>
      </c>
      <c r="K908" s="91">
        <v>1</v>
      </c>
      <c r="L908" s="77" t="s">
        <v>6566</v>
      </c>
      <c r="M908" s="78">
        <v>359.09055000000001</v>
      </c>
      <c r="N908" s="79">
        <v>13.728590000000001</v>
      </c>
      <c r="O908" s="79">
        <v>0</v>
      </c>
      <c r="P908" s="79">
        <v>0</v>
      </c>
      <c r="Q908" s="77"/>
      <c r="R908" s="77"/>
      <c r="S908" s="77"/>
      <c r="T908" s="77"/>
      <c r="U908" s="77"/>
      <c r="V908" s="87"/>
      <c r="W908" s="87"/>
      <c r="X908" s="87"/>
      <c r="Y908" s="77"/>
      <c r="Z908" s="88"/>
      <c r="AA908" s="35"/>
      <c r="AB908" s="35"/>
    </row>
    <row r="909" spans="1:28" x14ac:dyDescent="0.25">
      <c r="A909" s="68" t="str">
        <f t="shared" si="42"/>
        <v>557849</v>
      </c>
      <c r="B909" s="10">
        <f t="shared" si="43"/>
        <v>359.09055000000001</v>
      </c>
      <c r="C909" s="77" t="s">
        <v>6282</v>
      </c>
      <c r="D909" s="191" t="str">
        <f t="shared" si="44"/>
        <v>V-StrongLumio bezdotykový vyp./stmívač alu,12/24V 4A konektory Mini,stř.(405202)</v>
      </c>
      <c r="E909" s="77" t="s">
        <v>6283</v>
      </c>
      <c r="F909" s="77" t="s">
        <v>1270</v>
      </c>
      <c r="G909" s="77" t="s">
        <v>1272</v>
      </c>
      <c r="H909" s="77" t="s">
        <v>1271</v>
      </c>
      <c r="I909" s="77" t="s">
        <v>795</v>
      </c>
      <c r="J909" s="90">
        <v>1</v>
      </c>
      <c r="K909" s="91">
        <v>1</v>
      </c>
      <c r="L909" s="77" t="s">
        <v>6566</v>
      </c>
      <c r="M909" s="78">
        <v>359.09055000000001</v>
      </c>
      <c r="N909" s="79">
        <v>14.85698</v>
      </c>
      <c r="O909" s="79">
        <v>0</v>
      </c>
      <c r="P909" s="79">
        <v>0</v>
      </c>
      <c r="Q909" s="77"/>
      <c r="R909" s="77"/>
      <c r="S909" s="77"/>
      <c r="T909" s="77"/>
      <c r="U909" s="77"/>
      <c r="V909" s="87"/>
      <c r="W909" s="87"/>
      <c r="X909" s="87"/>
      <c r="Y909" s="77"/>
      <c r="Z909" s="88"/>
      <c r="AA909" s="35"/>
      <c r="AB909" s="35"/>
    </row>
    <row r="910" spans="1:28" x14ac:dyDescent="0.25">
      <c r="A910" s="68" t="str">
        <f t="shared" si="42"/>
        <v>376947</v>
      </c>
      <c r="B910" s="10">
        <f t="shared" si="43"/>
        <v>337.60649999999998</v>
      </c>
      <c r="C910" s="77" t="s">
        <v>5519</v>
      </c>
      <c r="D910" s="191" t="str">
        <f t="shared" si="44"/>
        <v>V-StrongLumio bezdotykový vypínač plast 12-24V 4A konektory Mini (374370)</v>
      </c>
      <c r="E910" s="77" t="s">
        <v>3729</v>
      </c>
      <c r="F910" s="77" t="s">
        <v>3730</v>
      </c>
      <c r="G910" s="77" t="s">
        <v>794</v>
      </c>
      <c r="H910" s="77" t="s">
        <v>794</v>
      </c>
      <c r="I910" s="77" t="s">
        <v>795</v>
      </c>
      <c r="J910" s="90">
        <v>1</v>
      </c>
      <c r="K910" s="91">
        <v>1</v>
      </c>
      <c r="L910" s="77" t="s">
        <v>6566</v>
      </c>
      <c r="M910" s="78">
        <v>337.60649999999998</v>
      </c>
      <c r="N910" s="79">
        <v>15.354699999999999</v>
      </c>
      <c r="O910" s="79">
        <v>48.489429999999999</v>
      </c>
      <c r="P910" s="79">
        <v>5561.5550999999996</v>
      </c>
      <c r="Q910" s="77"/>
      <c r="R910" s="77"/>
      <c r="S910" s="77"/>
      <c r="T910" s="77"/>
      <c r="U910" s="77"/>
      <c r="V910" s="87"/>
      <c r="W910" s="87"/>
      <c r="X910" s="87"/>
      <c r="Y910" s="77"/>
      <c r="Z910" s="88"/>
      <c r="AA910" s="35"/>
      <c r="AB910" s="35"/>
    </row>
    <row r="911" spans="1:28" x14ac:dyDescent="0.25">
      <c r="A911" s="68" t="str">
        <f t="shared" si="42"/>
        <v>557848</v>
      </c>
      <c r="B911" s="10">
        <f t="shared" si="43"/>
        <v>359.09055000000001</v>
      </c>
      <c r="C911" s="77" t="s">
        <v>6280</v>
      </c>
      <c r="D911" s="191" t="str">
        <f t="shared" si="44"/>
        <v>V-StrongLumio bezdotykový vypínač/stmívač alu,12/24V 48/96W 4A Mini,bílá(405917)</v>
      </c>
      <c r="E911" s="77" t="s">
        <v>6281</v>
      </c>
      <c r="F911" s="77" t="s">
        <v>1262</v>
      </c>
      <c r="G911" s="77" t="s">
        <v>1264</v>
      </c>
      <c r="H911" s="77" t="s">
        <v>1263</v>
      </c>
      <c r="I911" s="77" t="s">
        <v>795</v>
      </c>
      <c r="J911" s="90">
        <v>1</v>
      </c>
      <c r="K911" s="91">
        <v>1</v>
      </c>
      <c r="L911" s="77" t="s">
        <v>6566</v>
      </c>
      <c r="M911" s="78">
        <v>359.09055000000001</v>
      </c>
      <c r="N911" s="79">
        <v>13.728590000000001</v>
      </c>
      <c r="O911" s="79">
        <v>0</v>
      </c>
      <c r="P911" s="79">
        <v>0</v>
      </c>
      <c r="Q911" s="77"/>
      <c r="R911" s="77"/>
      <c r="S911" s="77"/>
      <c r="T911" s="77"/>
      <c r="U911" s="77"/>
      <c r="V911" s="87"/>
      <c r="W911" s="87"/>
      <c r="X911" s="87"/>
      <c r="Y911" s="77"/>
      <c r="Z911" s="88"/>
      <c r="AA911" s="35"/>
      <c r="AB911" s="35"/>
    </row>
    <row r="912" spans="1:28" x14ac:dyDescent="0.25">
      <c r="A912" s="68" t="str">
        <f t="shared" si="42"/>
        <v>557772</v>
      </c>
      <c r="B912" s="10">
        <f t="shared" si="43"/>
        <v>246.26238000000001</v>
      </c>
      <c r="C912" s="77" t="s">
        <v>6265</v>
      </c>
      <c r="D912" s="191" t="str">
        <f t="shared" si="44"/>
        <v>V-StrongLumio bezdrátový nabíjecí dotykový vypínač/stmívač (546612)</v>
      </c>
      <c r="E912" s="77" t="s">
        <v>6266</v>
      </c>
      <c r="F912" s="77" t="s">
        <v>1274</v>
      </c>
      <c r="G912" s="77" t="s">
        <v>6419</v>
      </c>
      <c r="H912" s="77" t="s">
        <v>1275</v>
      </c>
      <c r="I912" s="77" t="s">
        <v>795</v>
      </c>
      <c r="J912" s="90">
        <v>1</v>
      </c>
      <c r="K912" s="91">
        <v>1</v>
      </c>
      <c r="L912" s="77" t="s">
        <v>6566</v>
      </c>
      <c r="M912" s="78">
        <v>246.26238000000001</v>
      </c>
      <c r="N912" s="79">
        <v>11.24619</v>
      </c>
      <c r="O912" s="79">
        <v>0</v>
      </c>
      <c r="P912" s="79">
        <v>0</v>
      </c>
      <c r="Q912" s="77"/>
      <c r="R912" s="77"/>
      <c r="S912" s="77"/>
      <c r="T912" s="77"/>
      <c r="U912" s="77"/>
      <c r="V912" s="87"/>
      <c r="W912" s="87"/>
      <c r="X912" s="87"/>
      <c r="Y912" s="77"/>
      <c r="Z912" s="88"/>
      <c r="AA912" s="35"/>
      <c r="AB912" s="35"/>
    </row>
    <row r="913" spans="1:28" x14ac:dyDescent="0.25">
      <c r="A913" s="68" t="str">
        <f t="shared" si="42"/>
        <v>557473</v>
      </c>
      <c r="B913" s="10">
        <f t="shared" si="43"/>
        <v>530.71199999999999</v>
      </c>
      <c r="C913" s="77" t="s">
        <v>6203</v>
      </c>
      <c r="D913" s="191" t="str">
        <f t="shared" si="44"/>
        <v>V-StrongLumio bezdrátový samonapájecí dveřní vypínač bílý (535063)</v>
      </c>
      <c r="E913" s="77" t="s">
        <v>6204</v>
      </c>
      <c r="F913" s="77" t="s">
        <v>6538</v>
      </c>
      <c r="G913" s="77" t="s">
        <v>6540</v>
      </c>
      <c r="H913" s="77" t="s">
        <v>6539</v>
      </c>
      <c r="I913" s="77" t="s">
        <v>795</v>
      </c>
      <c r="J913" s="90">
        <v>280</v>
      </c>
      <c r="K913" s="91">
        <v>1</v>
      </c>
      <c r="L913" s="77" t="s">
        <v>6566</v>
      </c>
      <c r="M913" s="78">
        <v>530.71199999999999</v>
      </c>
      <c r="N913" s="79">
        <v>18.767199999999999</v>
      </c>
      <c r="O913" s="79">
        <v>0</v>
      </c>
      <c r="P913" s="79">
        <v>0</v>
      </c>
      <c r="Q913" s="77"/>
      <c r="R913" s="77"/>
      <c r="S913" s="77"/>
      <c r="T913" s="77"/>
      <c r="U913" s="77"/>
      <c r="V913" s="87"/>
      <c r="W913" s="87"/>
      <c r="X913" s="87"/>
      <c r="Y913" s="77"/>
      <c r="Z913" s="88"/>
      <c r="AA913" s="35"/>
      <c r="AB913" s="35"/>
    </row>
    <row r="914" spans="1:28" x14ac:dyDescent="0.25">
      <c r="A914" s="68" t="str">
        <f t="shared" si="42"/>
        <v>557475</v>
      </c>
      <c r="B914" s="10">
        <f t="shared" si="43"/>
        <v>530.71199999999999</v>
      </c>
      <c r="C914" s="77" t="s">
        <v>6205</v>
      </c>
      <c r="D914" s="191" t="str">
        <f t="shared" si="44"/>
        <v>V-StrongLumio bezdrátový samonapájecí dveřní vypínač černý (535064)</v>
      </c>
      <c r="E914" s="77" t="s">
        <v>6206</v>
      </c>
      <c r="F914" s="77" t="s">
        <v>6541</v>
      </c>
      <c r="G914" s="77" t="s">
        <v>6543</v>
      </c>
      <c r="H914" s="77" t="s">
        <v>6542</v>
      </c>
      <c r="I914" s="77" t="s">
        <v>795</v>
      </c>
      <c r="J914" s="90">
        <v>280</v>
      </c>
      <c r="K914" s="91">
        <v>1</v>
      </c>
      <c r="L914" s="77" t="s">
        <v>6566</v>
      </c>
      <c r="M914" s="78">
        <v>530.71199999999999</v>
      </c>
      <c r="N914" s="79">
        <v>18.767199999999999</v>
      </c>
      <c r="O914" s="79">
        <v>0</v>
      </c>
      <c r="P914" s="79">
        <v>0</v>
      </c>
      <c r="Q914" s="77"/>
      <c r="R914" s="77"/>
      <c r="S914" s="77"/>
      <c r="T914" s="77"/>
      <c r="U914" s="77"/>
      <c r="V914" s="87"/>
      <c r="W914" s="87"/>
      <c r="X914" s="87"/>
      <c r="Y914" s="77"/>
      <c r="Z914" s="88"/>
      <c r="AA914" s="35"/>
      <c r="AB914" s="35"/>
    </row>
    <row r="915" spans="1:28" x14ac:dyDescent="0.25">
      <c r="A915" s="68" t="str">
        <f t="shared" si="42"/>
        <v>557851</v>
      </c>
      <c r="B915" s="10">
        <f t="shared" si="43"/>
        <v>742.99680000000001</v>
      </c>
      <c r="C915" s="77" t="s">
        <v>6286</v>
      </c>
      <c r="D915" s="191" t="str">
        <f t="shared" si="44"/>
        <v>V-StrongLumio bezdrátový vypínač samonapájecí - 1 tlačítko zlatá (467128)</v>
      </c>
      <c r="E915" s="77" t="s">
        <v>6287</v>
      </c>
      <c r="F915" s="77" t="s">
        <v>1298</v>
      </c>
      <c r="G915" s="77" t="s">
        <v>1300</v>
      </c>
      <c r="H915" s="77" t="s">
        <v>1299</v>
      </c>
      <c r="I915" s="77" t="s">
        <v>795</v>
      </c>
      <c r="J915" s="90">
        <v>1</v>
      </c>
      <c r="K915" s="91">
        <v>1</v>
      </c>
      <c r="L915" s="77" t="s">
        <v>6566</v>
      </c>
      <c r="M915" s="78">
        <v>742.99680000000001</v>
      </c>
      <c r="N915" s="79">
        <v>24.022040000000001</v>
      </c>
      <c r="O915" s="79">
        <v>0</v>
      </c>
      <c r="P915" s="79">
        <v>0</v>
      </c>
      <c r="Q915" s="77"/>
      <c r="R915" s="77"/>
      <c r="S915" s="77"/>
      <c r="T915" s="77"/>
      <c r="U915" s="77"/>
      <c r="V915" s="87"/>
      <c r="W915" s="87"/>
      <c r="X915" s="87"/>
      <c r="Y915" s="77"/>
      <c r="Z915" s="88"/>
      <c r="AA915" s="35"/>
      <c r="AB915" s="35"/>
    </row>
    <row r="916" spans="1:28" x14ac:dyDescent="0.25">
      <c r="A916" s="68" t="str">
        <f t="shared" si="42"/>
        <v>556062</v>
      </c>
      <c r="B916" s="10">
        <f t="shared" si="43"/>
        <v>774.83951999999999</v>
      </c>
      <c r="C916" s="77" t="s">
        <v>5520</v>
      </c>
      <c r="D916" s="191" t="str">
        <f t="shared" si="44"/>
        <v>V-StrongLumio bezdrátový vypínač samonapájecí - 2 tlačítka bílá</v>
      </c>
      <c r="E916" s="77" t="s">
        <v>3731</v>
      </c>
      <c r="F916" s="77" t="s">
        <v>3732</v>
      </c>
      <c r="G916" s="77" t="s">
        <v>3734</v>
      </c>
      <c r="H916" s="77" t="s">
        <v>3733</v>
      </c>
      <c r="I916" s="77" t="s">
        <v>795</v>
      </c>
      <c r="J916" s="90">
        <v>1</v>
      </c>
      <c r="K916" s="91">
        <v>1</v>
      </c>
      <c r="L916" s="77" t="s">
        <v>6566</v>
      </c>
      <c r="M916" s="78">
        <v>774.83951999999999</v>
      </c>
      <c r="N916" s="79">
        <v>24.772749999999998</v>
      </c>
      <c r="O916" s="79">
        <v>73.710220000000007</v>
      </c>
      <c r="P916" s="79">
        <v>0</v>
      </c>
      <c r="Q916" s="77"/>
      <c r="R916" s="77"/>
      <c r="S916" s="77"/>
      <c r="T916" s="77"/>
      <c r="U916" s="77"/>
      <c r="V916" s="87"/>
      <c r="W916" s="87"/>
      <c r="X916" s="87"/>
      <c r="Y916" s="77"/>
      <c r="Z916" s="88"/>
      <c r="AA916" s="35"/>
      <c r="AB916" s="35"/>
    </row>
    <row r="917" spans="1:28" x14ac:dyDescent="0.25">
      <c r="A917" s="68" t="str">
        <f t="shared" si="42"/>
        <v>557852</v>
      </c>
      <c r="B917" s="10">
        <f t="shared" si="43"/>
        <v>870.36767999999995</v>
      </c>
      <c r="C917" s="77" t="s">
        <v>6288</v>
      </c>
      <c r="D917" s="191" t="str">
        <f t="shared" si="44"/>
        <v>V-StrongLumio bezdrátový vypínač samonapájecí - 2 tlačítka černá (491231)</v>
      </c>
      <c r="E917" s="77" t="s">
        <v>6289</v>
      </c>
      <c r="F917" s="77" t="s">
        <v>1306</v>
      </c>
      <c r="G917" s="77" t="s">
        <v>1308</v>
      </c>
      <c r="H917" s="77" t="s">
        <v>1307</v>
      </c>
      <c r="I917" s="77" t="s">
        <v>795</v>
      </c>
      <c r="J917" s="90">
        <v>1</v>
      </c>
      <c r="K917" s="91">
        <v>1</v>
      </c>
      <c r="L917" s="77" t="s">
        <v>6566</v>
      </c>
      <c r="M917" s="78">
        <v>870.36767999999995</v>
      </c>
      <c r="N917" s="79">
        <v>28.15081</v>
      </c>
      <c r="O917" s="79">
        <v>0</v>
      </c>
      <c r="P917" s="79">
        <v>0</v>
      </c>
      <c r="Q917" s="77"/>
      <c r="R917" s="77"/>
      <c r="S917" s="77"/>
      <c r="T917" s="77"/>
      <c r="U917" s="77"/>
      <c r="V917" s="87"/>
      <c r="W917" s="87"/>
      <c r="X917" s="87"/>
      <c r="Y917" s="77"/>
      <c r="Z917" s="88"/>
      <c r="AA917" s="35"/>
      <c r="AB917" s="35"/>
    </row>
    <row r="918" spans="1:28" x14ac:dyDescent="0.25">
      <c r="A918" s="68" t="str">
        <f t="shared" si="42"/>
        <v>557853</v>
      </c>
      <c r="B918" s="10">
        <f t="shared" si="43"/>
        <v>902.21040000000005</v>
      </c>
      <c r="C918" s="77" t="s">
        <v>6290</v>
      </c>
      <c r="D918" s="191" t="str">
        <f t="shared" si="44"/>
        <v>V-StrongLumio bezdrátový vypínač samonapájecí - 3 tlačítka bílá (467127)</v>
      </c>
      <c r="E918" s="77" t="s">
        <v>6291</v>
      </c>
      <c r="F918" s="77" t="s">
        <v>1318</v>
      </c>
      <c r="G918" s="77" t="s">
        <v>1320</v>
      </c>
      <c r="H918" s="77" t="s">
        <v>1319</v>
      </c>
      <c r="I918" s="77" t="s">
        <v>795</v>
      </c>
      <c r="J918" s="90">
        <v>1</v>
      </c>
      <c r="K918" s="91">
        <v>1</v>
      </c>
      <c r="L918" s="77" t="s">
        <v>6566</v>
      </c>
      <c r="M918" s="78">
        <v>902.21040000000005</v>
      </c>
      <c r="N918" s="79">
        <v>31.90428</v>
      </c>
      <c r="O918" s="79">
        <v>0</v>
      </c>
      <c r="P918" s="79">
        <v>0</v>
      </c>
      <c r="Q918" s="77"/>
      <c r="R918" s="77"/>
      <c r="S918" s="77"/>
      <c r="T918" s="77"/>
      <c r="U918" s="77"/>
      <c r="V918" s="87"/>
      <c r="W918" s="87"/>
      <c r="X918" s="87"/>
      <c r="Y918" s="77"/>
      <c r="Z918" s="88"/>
      <c r="AA918" s="35"/>
      <c r="AB918" s="35"/>
    </row>
    <row r="919" spans="1:28" x14ac:dyDescent="0.25">
      <c r="A919" s="68" t="str">
        <f t="shared" si="42"/>
        <v>557854</v>
      </c>
      <c r="B919" s="10">
        <f t="shared" si="43"/>
        <v>997.73856000000001</v>
      </c>
      <c r="C919" s="77" t="s">
        <v>6292</v>
      </c>
      <c r="D919" s="191" t="str">
        <f t="shared" si="44"/>
        <v>V-StrongLumio bezdrátový vypínač samonapájecí - 3 tlačítka černá (491232)</v>
      </c>
      <c r="E919" s="77" t="s">
        <v>6293</v>
      </c>
      <c r="F919" s="77" t="s">
        <v>1322</v>
      </c>
      <c r="G919" s="77" t="s">
        <v>1324</v>
      </c>
      <c r="H919" s="77" t="s">
        <v>1323</v>
      </c>
      <c r="I919" s="77" t="s">
        <v>795</v>
      </c>
      <c r="J919" s="90">
        <v>1</v>
      </c>
      <c r="K919" s="91">
        <v>1</v>
      </c>
      <c r="L919" s="77" t="s">
        <v>6566</v>
      </c>
      <c r="M919" s="78">
        <v>997.73856000000001</v>
      </c>
      <c r="N919" s="79">
        <v>32.279620000000001</v>
      </c>
      <c r="O919" s="79">
        <v>0</v>
      </c>
      <c r="P919" s="79">
        <v>0</v>
      </c>
      <c r="Q919" s="77"/>
      <c r="R919" s="77"/>
      <c r="S919" s="77"/>
      <c r="T919" s="77"/>
      <c r="U919" s="77"/>
      <c r="V919" s="87"/>
      <c r="W919" s="87"/>
      <c r="X919" s="87"/>
      <c r="Y919" s="77"/>
      <c r="Z919" s="88"/>
      <c r="AA919" s="35"/>
      <c r="AB919" s="35"/>
    </row>
    <row r="920" spans="1:28" x14ac:dyDescent="0.25">
      <c r="A920" s="68" t="str">
        <f t="shared" si="42"/>
        <v>557855</v>
      </c>
      <c r="B920" s="10">
        <f t="shared" si="43"/>
        <v>997.73856000000001</v>
      </c>
      <c r="C920" s="77" t="s">
        <v>6294</v>
      </c>
      <c r="D920" s="191" t="str">
        <f t="shared" si="44"/>
        <v>V-StrongLumio bezdrátový vypínač samonapájecí - 3 tlačítka stříbrná (467132)</v>
      </c>
      <c r="E920" s="77" t="s">
        <v>6295</v>
      </c>
      <c r="F920" s="77" t="s">
        <v>1326</v>
      </c>
      <c r="G920" s="77" t="s">
        <v>1328</v>
      </c>
      <c r="H920" s="77" t="s">
        <v>1327</v>
      </c>
      <c r="I920" s="77" t="s">
        <v>795</v>
      </c>
      <c r="J920" s="90">
        <v>1</v>
      </c>
      <c r="K920" s="91">
        <v>1</v>
      </c>
      <c r="L920" s="77" t="s">
        <v>6566</v>
      </c>
      <c r="M920" s="78">
        <v>997.73856000000001</v>
      </c>
      <c r="N920" s="79">
        <v>35.282339999999998</v>
      </c>
      <c r="O920" s="79">
        <v>0</v>
      </c>
      <c r="P920" s="79">
        <v>0</v>
      </c>
      <c r="Q920" s="77"/>
      <c r="R920" s="77"/>
      <c r="S920" s="77"/>
      <c r="T920" s="77"/>
      <c r="U920" s="77"/>
      <c r="V920" s="87"/>
      <c r="W920" s="87"/>
      <c r="X920" s="87"/>
      <c r="Y920" s="77"/>
      <c r="Z920" s="88"/>
      <c r="AA920" s="35"/>
      <c r="AB920" s="35"/>
    </row>
    <row r="921" spans="1:28" x14ac:dyDescent="0.25">
      <c r="A921" s="68" t="str">
        <f t="shared" si="42"/>
        <v>487129</v>
      </c>
      <c r="B921" s="10">
        <f t="shared" si="43"/>
        <v>548.85599999999999</v>
      </c>
      <c r="C921" s="77" t="s">
        <v>5521</v>
      </c>
      <c r="D921" s="191" t="str">
        <f t="shared" si="44"/>
        <v>V-StrongLumio bezdrátový vypínač samonapájecí - bílá, 1 tlačítko (467125)</v>
      </c>
      <c r="E921" s="77" t="s">
        <v>3735</v>
      </c>
      <c r="F921" s="77" t="s">
        <v>3736</v>
      </c>
      <c r="G921" s="77" t="s">
        <v>3737</v>
      </c>
      <c r="H921" s="77" t="s">
        <v>794</v>
      </c>
      <c r="I921" s="77" t="s">
        <v>795</v>
      </c>
      <c r="J921" s="90">
        <v>120</v>
      </c>
      <c r="K921" s="91">
        <v>1</v>
      </c>
      <c r="L921" s="77" t="s">
        <v>6566</v>
      </c>
      <c r="M921" s="78">
        <v>548.85599999999999</v>
      </c>
      <c r="N921" s="79">
        <v>21.335540000000002</v>
      </c>
      <c r="O921" s="79">
        <v>62.230150000000002</v>
      </c>
      <c r="P921" s="79">
        <v>8008.2701399999996</v>
      </c>
      <c r="Q921" s="77"/>
      <c r="R921" s="77"/>
      <c r="S921" s="77"/>
      <c r="T921" s="77"/>
      <c r="U921" s="77"/>
      <c r="V921" s="87"/>
      <c r="W921" s="87"/>
      <c r="X921" s="87"/>
      <c r="Y921" s="77"/>
      <c r="Z921" s="88"/>
      <c r="AA921" s="35"/>
      <c r="AB921" s="35"/>
    </row>
    <row r="922" spans="1:28" x14ac:dyDescent="0.25">
      <c r="A922" s="68" t="str">
        <f t="shared" si="42"/>
        <v>520610</v>
      </c>
      <c r="B922" s="10">
        <f t="shared" si="43"/>
        <v>638.66880000000003</v>
      </c>
      <c r="C922" s="77" t="s">
        <v>5522</v>
      </c>
      <c r="D922" s="191" t="str">
        <f t="shared" si="44"/>
        <v>V-StrongLumio bezdrátový vypínač samonapájecí - černá, 1 tlačítko (491230)</v>
      </c>
      <c r="E922" s="77" t="s">
        <v>3738</v>
      </c>
      <c r="F922" s="77" t="s">
        <v>3739</v>
      </c>
      <c r="G922" s="77" t="s">
        <v>3741</v>
      </c>
      <c r="H922" s="77" t="s">
        <v>3740</v>
      </c>
      <c r="I922" s="77" t="s">
        <v>795</v>
      </c>
      <c r="J922" s="90">
        <v>120</v>
      </c>
      <c r="K922" s="91">
        <v>1</v>
      </c>
      <c r="L922" s="77" t="s">
        <v>6566</v>
      </c>
      <c r="M922" s="78">
        <v>638.66880000000003</v>
      </c>
      <c r="N922" s="79">
        <v>24.826789999999999</v>
      </c>
      <c r="O922" s="79">
        <v>88.342560000000006</v>
      </c>
      <c r="P922" s="79">
        <v>9189.8181800000002</v>
      </c>
      <c r="Q922" s="77"/>
      <c r="R922" s="77"/>
      <c r="S922" s="77"/>
      <c r="T922" s="77"/>
      <c r="U922" s="77"/>
      <c r="V922" s="87"/>
      <c r="W922" s="87"/>
      <c r="X922" s="87"/>
      <c r="Y922" s="77"/>
      <c r="Z922" s="88"/>
      <c r="AA922" s="35"/>
      <c r="AB922" s="35"/>
    </row>
    <row r="923" spans="1:28" x14ac:dyDescent="0.25">
      <c r="A923" s="68" t="str">
        <f t="shared" si="42"/>
        <v>491286</v>
      </c>
      <c r="B923" s="10">
        <f t="shared" si="43"/>
        <v>638.66880000000003</v>
      </c>
      <c r="C923" s="77" t="s">
        <v>5523</v>
      </c>
      <c r="D923" s="191" t="str">
        <f t="shared" si="44"/>
        <v>V-StrongLumio bezdrátový vypínač samonapájecí - stříbrná, 1 tlačítko (467129)</v>
      </c>
      <c r="E923" s="77" t="s">
        <v>3742</v>
      </c>
      <c r="F923" s="77" t="s">
        <v>3743</v>
      </c>
      <c r="G923" s="77" t="s">
        <v>3744</v>
      </c>
      <c r="H923" s="77" t="s">
        <v>794</v>
      </c>
      <c r="I923" s="77" t="s">
        <v>795</v>
      </c>
      <c r="J923" s="90">
        <v>120</v>
      </c>
      <c r="K923" s="91">
        <v>1</v>
      </c>
      <c r="L923" s="77" t="s">
        <v>6566</v>
      </c>
      <c r="M923" s="78">
        <v>638.66880000000003</v>
      </c>
      <c r="N923" s="79">
        <v>24.826789999999999</v>
      </c>
      <c r="O923" s="79">
        <v>88.341579999999993</v>
      </c>
      <c r="P923" s="79">
        <v>9189.8181800000002</v>
      </c>
      <c r="Q923" s="77"/>
      <c r="R923" s="77"/>
      <c r="S923" s="77"/>
      <c r="T923" s="77"/>
      <c r="U923" s="77"/>
      <c r="V923" s="87"/>
      <c r="W923" s="87"/>
      <c r="X923" s="87"/>
      <c r="Y923" s="77"/>
      <c r="Z923" s="88"/>
      <c r="AA923" s="35"/>
      <c r="AB923" s="35"/>
    </row>
    <row r="924" spans="1:28" x14ac:dyDescent="0.25">
      <c r="A924" s="68" t="str">
        <f t="shared" ref="A924:A987" si="45">C924</f>
        <v>500261</v>
      </c>
      <c r="B924" s="10">
        <f t="shared" si="43"/>
        <v>818.2944</v>
      </c>
      <c r="C924" s="77" t="s">
        <v>5524</v>
      </c>
      <c r="D924" s="191" t="str">
        <f t="shared" si="44"/>
        <v>V-StrongLumio bezdrátový vypínač samonapájecí - stříbrná, 2 tlačítka (467131)</v>
      </c>
      <c r="E924" s="77" t="s">
        <v>3745</v>
      </c>
      <c r="F924" s="77" t="s">
        <v>3746</v>
      </c>
      <c r="G924" s="77" t="s">
        <v>3748</v>
      </c>
      <c r="H924" s="77" t="s">
        <v>3747</v>
      </c>
      <c r="I924" s="77" t="s">
        <v>795</v>
      </c>
      <c r="J924" s="90">
        <v>120</v>
      </c>
      <c r="K924" s="91">
        <v>1</v>
      </c>
      <c r="L924" s="77" t="s">
        <v>6566</v>
      </c>
      <c r="M924" s="78">
        <v>818.2944</v>
      </c>
      <c r="N924" s="79">
        <v>31.80931</v>
      </c>
      <c r="O924" s="79">
        <v>92.779510000000002</v>
      </c>
      <c r="P924" s="79">
        <v>10765.21558</v>
      </c>
      <c r="Q924" s="77"/>
      <c r="R924" s="77"/>
      <c r="S924" s="77"/>
      <c r="T924" s="77"/>
      <c r="U924" s="77"/>
      <c r="V924" s="87"/>
      <c r="W924" s="87"/>
      <c r="X924" s="87"/>
      <c r="Y924" s="77"/>
      <c r="Z924" s="88"/>
      <c r="AA924" s="35"/>
      <c r="AB924" s="35"/>
    </row>
    <row r="925" spans="1:28" x14ac:dyDescent="0.25">
      <c r="A925" s="68" t="str">
        <f t="shared" si="45"/>
        <v>484708</v>
      </c>
      <c r="B925" s="10">
        <f t="shared" si="43"/>
        <v>818.2944</v>
      </c>
      <c r="C925" s="77" t="s">
        <v>5525</v>
      </c>
      <c r="D925" s="191" t="str">
        <f t="shared" si="44"/>
        <v>V-StrongLumio bezdrátový vypínač samonapájecí - zlatá, 2 tlačítka (467130)</v>
      </c>
      <c r="E925" s="77" t="s">
        <v>3749</v>
      </c>
      <c r="F925" s="77" t="s">
        <v>3750</v>
      </c>
      <c r="G925" s="77" t="s">
        <v>3751</v>
      </c>
      <c r="H925" s="77" t="s">
        <v>794</v>
      </c>
      <c r="I925" s="77" t="s">
        <v>795</v>
      </c>
      <c r="J925" s="90">
        <v>120</v>
      </c>
      <c r="K925" s="91">
        <v>1</v>
      </c>
      <c r="L925" s="77" t="s">
        <v>6566</v>
      </c>
      <c r="M925" s="78">
        <v>818.2944</v>
      </c>
      <c r="N925" s="79">
        <v>31.80931</v>
      </c>
      <c r="O925" s="79">
        <v>92.779510000000002</v>
      </c>
      <c r="P925" s="79">
        <v>10765.21558</v>
      </c>
      <c r="Q925" s="77"/>
      <c r="R925" s="77"/>
      <c r="S925" s="77"/>
      <c r="T925" s="77"/>
      <c r="U925" s="77"/>
      <c r="V925" s="87"/>
      <c r="W925" s="87"/>
      <c r="X925" s="87"/>
      <c r="Y925" s="77"/>
      <c r="Z925" s="88"/>
      <c r="AA925" s="35"/>
      <c r="AB925" s="35"/>
    </row>
    <row r="926" spans="1:28" x14ac:dyDescent="0.25">
      <c r="A926" s="68" t="str">
        <f t="shared" si="45"/>
        <v>557773</v>
      </c>
      <c r="B926" s="10">
        <f t="shared" ref="B926:B989" si="46">IF($B$1=1,M926,IF($B$1=2,N926,IF($B$1=3,O926,IF($B$1=4,P926))))</f>
        <v>471.19968</v>
      </c>
      <c r="C926" s="77" t="s">
        <v>6267</v>
      </c>
      <c r="D926" s="191" t="str">
        <f t="shared" si="44"/>
        <v>V-StrongLumio bezdrátový vypínač samonapájecí 35mm k zafrézování bílý (546642)</v>
      </c>
      <c r="E926" s="77" t="s">
        <v>6268</v>
      </c>
      <c r="F926" s="77" t="s">
        <v>1330</v>
      </c>
      <c r="G926" s="77" t="s">
        <v>1332</v>
      </c>
      <c r="H926" s="77" t="s">
        <v>1331</v>
      </c>
      <c r="I926" s="77" t="s">
        <v>795</v>
      </c>
      <c r="J926" s="90">
        <v>1</v>
      </c>
      <c r="K926" s="91">
        <v>1</v>
      </c>
      <c r="L926" s="77" t="s">
        <v>6566</v>
      </c>
      <c r="M926" s="78">
        <v>471.19968</v>
      </c>
      <c r="N926" s="79">
        <v>18.3919</v>
      </c>
      <c r="O926" s="79">
        <v>0</v>
      </c>
      <c r="P926" s="79">
        <v>0</v>
      </c>
      <c r="Q926" s="77"/>
      <c r="R926" s="77"/>
      <c r="S926" s="77"/>
      <c r="T926" s="77"/>
      <c r="U926" s="77"/>
      <c r="V926" s="87"/>
      <c r="W926" s="87"/>
      <c r="X926" s="87"/>
      <c r="Y926" s="77"/>
      <c r="Z926" s="88"/>
      <c r="AA926" s="35"/>
      <c r="AB926" s="35"/>
    </row>
    <row r="927" spans="1:28" x14ac:dyDescent="0.25">
      <c r="A927" s="68" t="str">
        <f t="shared" si="45"/>
        <v>557774</v>
      </c>
      <c r="B927" s="10">
        <f t="shared" si="46"/>
        <v>471.19968</v>
      </c>
      <c r="C927" s="77" t="s">
        <v>6269</v>
      </c>
      <c r="D927" s="191" t="str">
        <f t="shared" si="44"/>
        <v>V-StrongLumio bezdrátový vypínač samonapájecí 35mm k zafrézování černý (546647)</v>
      </c>
      <c r="E927" s="77" t="s">
        <v>6270</v>
      </c>
      <c r="F927" s="77" t="s">
        <v>1334</v>
      </c>
      <c r="G927" s="77" t="s">
        <v>1336</v>
      </c>
      <c r="H927" s="77" t="s">
        <v>1335</v>
      </c>
      <c r="I927" s="77" t="s">
        <v>795</v>
      </c>
      <c r="J927" s="90">
        <v>1</v>
      </c>
      <c r="K927" s="91">
        <v>1</v>
      </c>
      <c r="L927" s="77" t="s">
        <v>6566</v>
      </c>
      <c r="M927" s="78">
        <v>471.19968</v>
      </c>
      <c r="N927" s="79">
        <v>18.3919</v>
      </c>
      <c r="O927" s="79">
        <v>0</v>
      </c>
      <c r="P927" s="79">
        <v>0</v>
      </c>
      <c r="Q927" s="77"/>
      <c r="R927" s="77"/>
      <c r="S927" s="77"/>
      <c r="T927" s="77"/>
      <c r="U927" s="77"/>
      <c r="V927" s="87"/>
      <c r="W927" s="87"/>
      <c r="X927" s="87"/>
      <c r="Y927" s="77"/>
      <c r="Z927" s="88"/>
      <c r="AA927" s="35"/>
      <c r="AB927" s="35"/>
    </row>
    <row r="928" spans="1:28" x14ac:dyDescent="0.25">
      <c r="A928" s="68" t="str">
        <f t="shared" si="45"/>
        <v>557476</v>
      </c>
      <c r="B928" s="10">
        <f t="shared" si="46"/>
        <v>530.71199999999999</v>
      </c>
      <c r="C928" s="77" t="s">
        <v>6207</v>
      </c>
      <c r="D928" s="191" t="str">
        <f t="shared" si="44"/>
        <v>V-StrongLumio bezdrátový vypínač samonapájecí kulatý bílý (535065)</v>
      </c>
      <c r="E928" s="77" t="s">
        <v>6208</v>
      </c>
      <c r="F928" s="77" t="s">
        <v>6544</v>
      </c>
      <c r="G928" s="77" t="s">
        <v>6546</v>
      </c>
      <c r="H928" s="77" t="s">
        <v>6545</v>
      </c>
      <c r="I928" s="77" t="s">
        <v>795</v>
      </c>
      <c r="J928" s="90">
        <v>280</v>
      </c>
      <c r="K928" s="91">
        <v>1</v>
      </c>
      <c r="L928" s="77" t="s">
        <v>6566</v>
      </c>
      <c r="M928" s="78">
        <v>530.71199999999999</v>
      </c>
      <c r="N928" s="79">
        <v>18.767199999999999</v>
      </c>
      <c r="O928" s="79">
        <v>0</v>
      </c>
      <c r="P928" s="79">
        <v>0</v>
      </c>
      <c r="Q928" s="77"/>
      <c r="R928" s="77"/>
      <c r="S928" s="77"/>
      <c r="T928" s="77"/>
      <c r="U928" s="77"/>
      <c r="V928" s="87"/>
      <c r="W928" s="87"/>
      <c r="X928" s="87"/>
      <c r="Y928" s="77"/>
      <c r="Z928" s="88"/>
      <c r="AA928" s="35"/>
      <c r="AB928" s="35"/>
    </row>
    <row r="929" spans="1:28" x14ac:dyDescent="0.25">
      <c r="A929" s="68" t="str">
        <f t="shared" si="45"/>
        <v>557477</v>
      </c>
      <c r="B929" s="10">
        <f t="shared" si="46"/>
        <v>530.71199999999999</v>
      </c>
      <c r="C929" s="77" t="s">
        <v>6209</v>
      </c>
      <c r="D929" s="191" t="str">
        <f t="shared" si="44"/>
        <v>V-StrongLumio bezdrátový vypínač samonapájecí kulatý černý (535066)</v>
      </c>
      <c r="E929" s="77" t="s">
        <v>6210</v>
      </c>
      <c r="F929" s="77" t="s">
        <v>6547</v>
      </c>
      <c r="G929" s="77" t="s">
        <v>6549</v>
      </c>
      <c r="H929" s="77" t="s">
        <v>6548</v>
      </c>
      <c r="I929" s="77" t="s">
        <v>795</v>
      </c>
      <c r="J929" s="90">
        <v>280</v>
      </c>
      <c r="K929" s="91">
        <v>1</v>
      </c>
      <c r="L929" s="77" t="s">
        <v>6566</v>
      </c>
      <c r="M929" s="78">
        <v>530.71199999999999</v>
      </c>
      <c r="N929" s="79">
        <v>18.767199999999999</v>
      </c>
      <c r="O929" s="79">
        <v>0</v>
      </c>
      <c r="P929" s="79">
        <v>0</v>
      </c>
      <c r="Q929" s="77"/>
      <c r="R929" s="77"/>
      <c r="S929" s="77"/>
      <c r="T929" s="77"/>
      <c r="U929" s="77"/>
      <c r="V929" s="87"/>
      <c r="W929" s="87"/>
      <c r="X929" s="87"/>
      <c r="Y929" s="77"/>
      <c r="Z929" s="88"/>
      <c r="AA929" s="35"/>
      <c r="AB929" s="35"/>
    </row>
    <row r="930" spans="1:28" x14ac:dyDescent="0.25">
      <c r="A930" s="68" t="str">
        <f t="shared" si="45"/>
        <v>372737</v>
      </c>
      <c r="B930" s="10">
        <f t="shared" si="46"/>
        <v>141.02549999999999</v>
      </c>
      <c r="C930" s="77" t="s">
        <v>5526</v>
      </c>
      <c r="D930" s="191" t="str">
        <f t="shared" si="44"/>
        <v>V-StrongLumio čidlo pro vypínač/dveřní senzor bílý (342520)</v>
      </c>
      <c r="E930" s="77" t="s">
        <v>3752</v>
      </c>
      <c r="F930" s="77" t="s">
        <v>3753</v>
      </c>
      <c r="G930" s="77" t="s">
        <v>3755</v>
      </c>
      <c r="H930" s="77" t="s">
        <v>3754</v>
      </c>
      <c r="I930" s="77" t="s">
        <v>795</v>
      </c>
      <c r="J930" s="90">
        <v>1</v>
      </c>
      <c r="K930" s="91">
        <v>1</v>
      </c>
      <c r="L930" s="77" t="s">
        <v>6566</v>
      </c>
      <c r="M930" s="78">
        <v>141.02549999999999</v>
      </c>
      <c r="N930" s="79">
        <v>6.4139900000000001</v>
      </c>
      <c r="O930" s="79">
        <v>20.652480000000001</v>
      </c>
      <c r="P930" s="79">
        <v>2435.8203400000002</v>
      </c>
      <c r="Q930" s="77"/>
      <c r="R930" s="77"/>
      <c r="S930" s="77"/>
      <c r="T930" s="77"/>
      <c r="U930" s="77"/>
      <c r="V930" s="87"/>
      <c r="W930" s="87"/>
      <c r="X930" s="87"/>
      <c r="Y930" s="77"/>
      <c r="Z930" s="88"/>
      <c r="AA930" s="35"/>
      <c r="AB930" s="35"/>
    </row>
    <row r="931" spans="1:28" x14ac:dyDescent="0.25">
      <c r="A931" s="68" t="str">
        <f t="shared" si="45"/>
        <v>372736</v>
      </c>
      <c r="B931" s="10">
        <f t="shared" si="46"/>
        <v>147.8631</v>
      </c>
      <c r="C931" s="77" t="s">
        <v>5527</v>
      </c>
      <c r="D931" s="191" t="str">
        <f t="shared" si="44"/>
        <v>V-StrongLumio čidlo pro vypínač/dveřní senzor černý (342519)</v>
      </c>
      <c r="E931" s="77" t="s">
        <v>3756</v>
      </c>
      <c r="F931" s="77" t="s">
        <v>3757</v>
      </c>
      <c r="G931" s="77" t="s">
        <v>3759</v>
      </c>
      <c r="H931" s="77" t="s">
        <v>3758</v>
      </c>
      <c r="I931" s="77" t="s">
        <v>795</v>
      </c>
      <c r="J931" s="90">
        <v>1</v>
      </c>
      <c r="K931" s="91">
        <v>1</v>
      </c>
      <c r="L931" s="77" t="s">
        <v>6566</v>
      </c>
      <c r="M931" s="78">
        <v>147.8631</v>
      </c>
      <c r="N931" s="79">
        <v>6.7249699999999999</v>
      </c>
      <c r="O931" s="79">
        <v>20.652480000000001</v>
      </c>
      <c r="P931" s="79">
        <v>2435.8203400000002</v>
      </c>
      <c r="Q931" s="77"/>
      <c r="R931" s="77"/>
      <c r="S931" s="77"/>
      <c r="T931" s="77"/>
      <c r="U931" s="77"/>
      <c r="V931" s="87"/>
      <c r="W931" s="87"/>
      <c r="X931" s="87"/>
      <c r="Y931" s="77"/>
      <c r="Z931" s="88"/>
      <c r="AA931" s="35"/>
      <c r="AB931" s="35"/>
    </row>
    <row r="932" spans="1:28" x14ac:dyDescent="0.25">
      <c r="A932" s="68" t="str">
        <f t="shared" si="45"/>
        <v>491287</v>
      </c>
      <c r="B932" s="10">
        <f t="shared" si="46"/>
        <v>752.71680000000003</v>
      </c>
      <c r="C932" s="77" t="s">
        <v>5528</v>
      </c>
      <c r="D932" s="191" t="str">
        <f t="shared" si="44"/>
        <v>V-StrongLumio dálkový ovladač otočný DIM/CCT/RGB/RGBW - 1 zóna (467120)</v>
      </c>
      <c r="E932" s="77" t="s">
        <v>3760</v>
      </c>
      <c r="F932" s="77" t="s">
        <v>3761</v>
      </c>
      <c r="G932" s="77" t="s">
        <v>3763</v>
      </c>
      <c r="H932" s="77" t="s">
        <v>3762</v>
      </c>
      <c r="I932" s="77" t="s">
        <v>795</v>
      </c>
      <c r="J932" s="90">
        <v>50</v>
      </c>
      <c r="K932" s="91">
        <v>1</v>
      </c>
      <c r="L932" s="77" t="s">
        <v>6566</v>
      </c>
      <c r="M932" s="78">
        <v>752.71680000000003</v>
      </c>
      <c r="N932" s="79">
        <v>29.869730000000001</v>
      </c>
      <c r="O932" s="79">
        <v>105.40259</v>
      </c>
      <c r="P932" s="79">
        <v>10153.92858</v>
      </c>
      <c r="Q932" s="77"/>
      <c r="R932" s="77"/>
      <c r="S932" s="77"/>
      <c r="T932" s="77"/>
      <c r="U932" s="77"/>
      <c r="V932" s="87"/>
      <c r="W932" s="87"/>
      <c r="X932" s="87"/>
      <c r="Y932" s="77"/>
      <c r="Z932" s="88"/>
      <c r="AA932" s="35"/>
      <c r="AB932" s="35"/>
    </row>
    <row r="933" spans="1:28" x14ac:dyDescent="0.25">
      <c r="A933" s="68" t="str">
        <f t="shared" si="45"/>
        <v>557770</v>
      </c>
      <c r="B933" s="10">
        <f t="shared" si="46"/>
        <v>0</v>
      </c>
      <c r="C933" s="77" t="s">
        <v>6261</v>
      </c>
      <c r="D933" s="191" t="str">
        <f t="shared" si="44"/>
        <v>V-StrongLumio dálkový ovladač pro digitální LED pásky 12-24V (544562)</v>
      </c>
      <c r="E933" s="77" t="s">
        <v>6262</v>
      </c>
      <c r="F933" s="77" t="s">
        <v>1356</v>
      </c>
      <c r="G933" s="77" t="s">
        <v>6426</v>
      </c>
      <c r="H933" s="77" t="s">
        <v>6425</v>
      </c>
      <c r="I933" s="77" t="s">
        <v>889</v>
      </c>
      <c r="J933" s="90">
        <v>10</v>
      </c>
      <c r="K933" s="91">
        <v>1</v>
      </c>
      <c r="L933" s="77" t="s">
        <v>6566</v>
      </c>
      <c r="M933" s="78">
        <v>0</v>
      </c>
      <c r="N933" s="79">
        <v>0</v>
      </c>
      <c r="O933" s="79">
        <v>0</v>
      </c>
      <c r="P933" s="79">
        <v>0</v>
      </c>
      <c r="Q933" s="77"/>
      <c r="R933" s="77"/>
      <c r="S933" s="77"/>
      <c r="T933" s="77"/>
      <c r="U933" s="77"/>
      <c r="V933" s="87"/>
      <c r="W933" s="87"/>
      <c r="X933" s="87"/>
      <c r="Y933" s="77"/>
      <c r="Z933" s="88"/>
      <c r="AA933" s="35"/>
      <c r="AB933" s="35"/>
    </row>
    <row r="934" spans="1:28" x14ac:dyDescent="0.25">
      <c r="A934" s="68" t="str">
        <f t="shared" si="45"/>
        <v>475043</v>
      </c>
      <c r="B934" s="10">
        <f t="shared" si="46"/>
        <v>474.09559999999999</v>
      </c>
      <c r="C934" s="77" t="s">
        <v>5529</v>
      </c>
      <c r="D934" s="191" t="str">
        <f t="shared" si="44"/>
        <v>V-StrongLumio dálkový ovladač RF univerzální 2 v 1 (467118)</v>
      </c>
      <c r="E934" s="77" t="s">
        <v>3764</v>
      </c>
      <c r="F934" s="77" t="s">
        <v>3765</v>
      </c>
      <c r="G934" s="77" t="s">
        <v>3766</v>
      </c>
      <c r="H934" s="77" t="s">
        <v>794</v>
      </c>
      <c r="I934" s="77" t="s">
        <v>795</v>
      </c>
      <c r="J934" s="90">
        <v>100</v>
      </c>
      <c r="K934" s="91">
        <v>1</v>
      </c>
      <c r="L934" s="77" t="s">
        <v>6566</v>
      </c>
      <c r="M934" s="78">
        <v>474.09559999999999</v>
      </c>
      <c r="N934" s="79">
        <v>19.82197</v>
      </c>
      <c r="O934" s="79">
        <v>67.600549999999998</v>
      </c>
      <c r="P934" s="79">
        <v>6031.8818300000003</v>
      </c>
      <c r="Q934" s="77"/>
      <c r="R934" s="77"/>
      <c r="S934" s="77"/>
      <c r="T934" s="77"/>
      <c r="U934" s="77"/>
      <c r="V934" s="87"/>
      <c r="W934" s="87"/>
      <c r="X934" s="87"/>
      <c r="Y934" s="77"/>
      <c r="Z934" s="88"/>
      <c r="AA934" s="35"/>
      <c r="AB934" s="35"/>
    </row>
    <row r="935" spans="1:28" x14ac:dyDescent="0.25">
      <c r="A935" s="68" t="str">
        <f t="shared" si="45"/>
        <v>414107</v>
      </c>
      <c r="B935" s="10">
        <f t="shared" si="46"/>
        <v>504.26531999999997</v>
      </c>
      <c r="C935" s="77" t="s">
        <v>5530</v>
      </c>
      <c r="D935" s="191" t="str">
        <f t="shared" si="44"/>
        <v>V-StrongLumio dálkový ovladač RF univerzální 5 v 1 (405206)</v>
      </c>
      <c r="E935" s="77" t="s">
        <v>3767</v>
      </c>
      <c r="F935" s="77" t="s">
        <v>3768</v>
      </c>
      <c r="G935" s="77" t="s">
        <v>794</v>
      </c>
      <c r="H935" s="77" t="s">
        <v>794</v>
      </c>
      <c r="I935" s="77" t="s">
        <v>795</v>
      </c>
      <c r="J935" s="90">
        <v>1</v>
      </c>
      <c r="K935" s="91">
        <v>1</v>
      </c>
      <c r="L935" s="77" t="s">
        <v>6566</v>
      </c>
      <c r="M935" s="78">
        <v>504.26531999999997</v>
      </c>
      <c r="N935" s="79">
        <v>19.82197</v>
      </c>
      <c r="O935" s="79">
        <v>63.065300000000001</v>
      </c>
      <c r="P935" s="79">
        <v>6031.8818300000003</v>
      </c>
      <c r="Q935" s="77"/>
      <c r="R935" s="77"/>
      <c r="S935" s="77"/>
      <c r="T935" s="77"/>
      <c r="U935" s="77"/>
      <c r="V935" s="87"/>
      <c r="W935" s="87"/>
      <c r="X935" s="87"/>
      <c r="Y935" s="77"/>
      <c r="Z935" s="88"/>
      <c r="AA935" s="35"/>
      <c r="AB935" s="35"/>
    </row>
    <row r="936" spans="1:28" x14ac:dyDescent="0.25">
      <c r="A936" s="68" t="str">
        <f t="shared" si="45"/>
        <v>364728</v>
      </c>
      <c r="B936" s="10">
        <f t="shared" si="46"/>
        <v>278.63220000000001</v>
      </c>
      <c r="C936" s="77" t="s">
        <v>5531</v>
      </c>
      <c r="D936" s="191" t="str">
        <f t="shared" si="44"/>
        <v>V-StrongLumio dotykový senzor s pružinou do profilu 12-24V 8A (342513)</v>
      </c>
      <c r="E936" s="77" t="s">
        <v>3769</v>
      </c>
      <c r="F936" s="77" t="s">
        <v>3770</v>
      </c>
      <c r="G936" s="77" t="s">
        <v>3772</v>
      </c>
      <c r="H936" s="77" t="s">
        <v>3771</v>
      </c>
      <c r="I936" s="77" t="s">
        <v>795</v>
      </c>
      <c r="J936" s="90">
        <v>1</v>
      </c>
      <c r="K936" s="91">
        <v>1</v>
      </c>
      <c r="L936" s="77" t="s">
        <v>6566</v>
      </c>
      <c r="M936" s="78">
        <v>278.63220000000001</v>
      </c>
      <c r="N936" s="79">
        <v>12.672499999999999</v>
      </c>
      <c r="O936" s="79">
        <v>41.492829999999998</v>
      </c>
      <c r="P936" s="79">
        <v>4590.0429700000004</v>
      </c>
      <c r="Q936" s="77"/>
      <c r="R936" s="77"/>
      <c r="S936" s="77"/>
      <c r="T936" s="77"/>
      <c r="U936" s="77"/>
      <c r="V936" s="87"/>
      <c r="W936" s="87"/>
      <c r="X936" s="87"/>
      <c r="Y936" s="77"/>
      <c r="Z936" s="88"/>
      <c r="AA936" s="35"/>
      <c r="AB936" s="35"/>
    </row>
    <row r="937" spans="1:28" x14ac:dyDescent="0.25">
      <c r="A937" s="68" t="str">
        <f t="shared" si="45"/>
        <v>504789</v>
      </c>
      <c r="B937" s="10">
        <f t="shared" si="46"/>
        <v>311.96550000000002</v>
      </c>
      <c r="C937" s="77" t="s">
        <v>5532</v>
      </c>
      <c r="D937" s="191" t="str">
        <f t="shared" si="44"/>
        <v>V-StrongLumio dveřní senzor alu 12/24V 48/96W 4A bílý konektory Mini (405915)</v>
      </c>
      <c r="E937" s="77" t="s">
        <v>3773</v>
      </c>
      <c r="F937" s="77" t="s">
        <v>3774</v>
      </c>
      <c r="G937" s="77" t="s">
        <v>3776</v>
      </c>
      <c r="H937" s="77" t="s">
        <v>3775</v>
      </c>
      <c r="I937" s="77" t="s">
        <v>795</v>
      </c>
      <c r="J937" s="90">
        <v>1</v>
      </c>
      <c r="K937" s="91">
        <v>1</v>
      </c>
      <c r="L937" s="77" t="s">
        <v>6566</v>
      </c>
      <c r="M937" s="78">
        <v>311.96550000000002</v>
      </c>
      <c r="N937" s="79">
        <v>14.188499999999999</v>
      </c>
      <c r="O937" s="79">
        <v>52.157559999999997</v>
      </c>
      <c r="P937" s="79">
        <v>5561.5550999999996</v>
      </c>
      <c r="Q937" s="77"/>
      <c r="R937" s="77"/>
      <c r="S937" s="77"/>
      <c r="T937" s="77"/>
      <c r="U937" s="77"/>
      <c r="V937" s="87"/>
      <c r="W937" s="87"/>
      <c r="X937" s="87"/>
      <c r="Y937" s="77"/>
      <c r="Z937" s="88"/>
      <c r="AA937" s="35"/>
      <c r="AB937" s="35"/>
    </row>
    <row r="938" spans="1:28" x14ac:dyDescent="0.25">
      <c r="A938" s="68" t="str">
        <f t="shared" si="45"/>
        <v>504790</v>
      </c>
      <c r="B938" s="10">
        <f t="shared" si="46"/>
        <v>337.60649999999998</v>
      </c>
      <c r="C938" s="77" t="s">
        <v>5533</v>
      </c>
      <c r="D938" s="191" t="str">
        <f t="shared" si="44"/>
        <v>V-StrongLumio dveřní senzor alu 12/24V 48/96W 4A černý konektory Mini (405916)</v>
      </c>
      <c r="E938" s="77" t="s">
        <v>3777</v>
      </c>
      <c r="F938" s="77" t="s">
        <v>3778</v>
      </c>
      <c r="G938" s="77" t="s">
        <v>3780</v>
      </c>
      <c r="H938" s="77" t="s">
        <v>3779</v>
      </c>
      <c r="I938" s="77" t="s">
        <v>795</v>
      </c>
      <c r="J938" s="90">
        <v>1</v>
      </c>
      <c r="K938" s="91">
        <v>1</v>
      </c>
      <c r="L938" s="77" t="s">
        <v>6566</v>
      </c>
      <c r="M938" s="78">
        <v>337.60649999999998</v>
      </c>
      <c r="N938" s="79">
        <v>15.354699999999999</v>
      </c>
      <c r="O938" s="79">
        <v>52.126930000000002</v>
      </c>
      <c r="P938" s="79">
        <v>5561.5550999999996</v>
      </c>
      <c r="Q938" s="77"/>
      <c r="R938" s="77"/>
      <c r="S938" s="77"/>
      <c r="T938" s="77"/>
      <c r="U938" s="77"/>
      <c r="V938" s="87"/>
      <c r="W938" s="87"/>
      <c r="X938" s="87"/>
      <c r="Y938" s="77"/>
      <c r="Z938" s="88"/>
      <c r="AA938" s="35"/>
      <c r="AB938" s="35"/>
    </row>
    <row r="939" spans="1:28" x14ac:dyDescent="0.25">
      <c r="A939" s="68" t="str">
        <f t="shared" si="45"/>
        <v>363091</v>
      </c>
      <c r="B939" s="10">
        <f t="shared" si="46"/>
        <v>324.786</v>
      </c>
      <c r="C939" s="77" t="s">
        <v>5534</v>
      </c>
      <c r="D939" s="191" t="str">
        <f t="shared" si="44"/>
        <v>V-StrongLumio dveřní senzor alu 12/24V 48/96W 4A konektory Mini (342514)</v>
      </c>
      <c r="E939" s="77" t="s">
        <v>3781</v>
      </c>
      <c r="F939" s="77" t="s">
        <v>3782</v>
      </c>
      <c r="G939" s="77" t="s">
        <v>3776</v>
      </c>
      <c r="H939" s="77" t="s">
        <v>3783</v>
      </c>
      <c r="I939" s="77" t="s">
        <v>795</v>
      </c>
      <c r="J939" s="90">
        <v>1</v>
      </c>
      <c r="K939" s="91">
        <v>1</v>
      </c>
      <c r="L939" s="77" t="s">
        <v>6566</v>
      </c>
      <c r="M939" s="78">
        <v>324.786</v>
      </c>
      <c r="N939" s="79">
        <v>14.77162</v>
      </c>
      <c r="O939" s="79">
        <v>49.750039999999998</v>
      </c>
      <c r="P939" s="79">
        <v>5350.35682</v>
      </c>
      <c r="Q939" s="77"/>
      <c r="R939" s="77"/>
      <c r="S939" s="77"/>
      <c r="T939" s="77"/>
      <c r="U939" s="77"/>
      <c r="V939" s="87"/>
      <c r="W939" s="87"/>
      <c r="X939" s="87"/>
      <c r="Y939" s="77"/>
      <c r="Z939" s="88"/>
      <c r="AA939" s="35"/>
      <c r="AB939" s="35"/>
    </row>
    <row r="940" spans="1:28" x14ac:dyDescent="0.25">
      <c r="A940" s="68" t="str">
        <f t="shared" si="45"/>
        <v>376945</v>
      </c>
      <c r="B940" s="10">
        <f t="shared" si="46"/>
        <v>311.96550000000002</v>
      </c>
      <c r="C940" s="77" t="s">
        <v>5535</v>
      </c>
      <c r="D940" s="191" t="str">
        <f t="shared" si="44"/>
        <v>V-StrongLumio dveřní senzor plast,12-24V,4A,konektory Mini, bílá (374369)</v>
      </c>
      <c r="E940" s="77" t="s">
        <v>3784</v>
      </c>
      <c r="F940" s="77" t="s">
        <v>3785</v>
      </c>
      <c r="G940" s="77" t="s">
        <v>794</v>
      </c>
      <c r="H940" s="77" t="s">
        <v>3786</v>
      </c>
      <c r="I940" s="77" t="s">
        <v>795</v>
      </c>
      <c r="J940" s="90">
        <v>1</v>
      </c>
      <c r="K940" s="91">
        <v>1</v>
      </c>
      <c r="L940" s="77" t="s">
        <v>6566</v>
      </c>
      <c r="M940" s="78">
        <v>311.96550000000002</v>
      </c>
      <c r="N940" s="79">
        <v>14.188499999999999</v>
      </c>
      <c r="O940" s="79">
        <v>51.374470000000002</v>
      </c>
      <c r="P940" s="79">
        <v>5561.5550999999996</v>
      </c>
      <c r="Q940" s="77"/>
      <c r="R940" s="77"/>
      <c r="S940" s="77"/>
      <c r="T940" s="77"/>
      <c r="U940" s="77"/>
      <c r="V940" s="87"/>
      <c r="W940" s="87"/>
      <c r="X940" s="87"/>
      <c r="Y940" s="77"/>
      <c r="Z940" s="88"/>
      <c r="AA940" s="35"/>
      <c r="AB940" s="35"/>
    </row>
    <row r="941" spans="1:28" x14ac:dyDescent="0.25">
      <c r="A941" s="68" t="str">
        <f t="shared" si="45"/>
        <v>465854</v>
      </c>
      <c r="B941" s="10">
        <f t="shared" si="46"/>
        <v>20.8263</v>
      </c>
      <c r="C941" s="77" t="s">
        <v>5536</v>
      </c>
      <c r="D941" s="191" t="str">
        <f t="shared" si="44"/>
        <v>V-StrongLumio Dvojlinka 2x0,5mm 2 20AWG bílo-červená (465852)</v>
      </c>
      <c r="E941" s="77" t="s">
        <v>3787</v>
      </c>
      <c r="F941" s="77" t="s">
        <v>3788</v>
      </c>
      <c r="G941" s="77" t="s">
        <v>3790</v>
      </c>
      <c r="H941" s="77" t="s">
        <v>3789</v>
      </c>
      <c r="I941" s="77" t="s">
        <v>992</v>
      </c>
      <c r="J941" s="90">
        <v>100</v>
      </c>
      <c r="K941" s="91">
        <v>1</v>
      </c>
      <c r="L941" s="77" t="s">
        <v>6566</v>
      </c>
      <c r="M941" s="78">
        <v>20.8263</v>
      </c>
      <c r="N941" s="79">
        <v>0.89166000000000001</v>
      </c>
      <c r="O941" s="79">
        <v>3.0167299999999999</v>
      </c>
      <c r="P941" s="79">
        <v>307.45</v>
      </c>
      <c r="Q941" s="77"/>
      <c r="R941" s="77"/>
      <c r="S941" s="77"/>
      <c r="T941" s="77"/>
      <c r="U941" s="77"/>
      <c r="V941" s="87"/>
      <c r="W941" s="87"/>
      <c r="X941" s="87"/>
      <c r="Y941" s="77"/>
      <c r="Z941" s="88"/>
      <c r="AA941" s="35"/>
      <c r="AB941" s="35"/>
    </row>
    <row r="942" spans="1:28" x14ac:dyDescent="0.25">
      <c r="A942" s="68" t="str">
        <f t="shared" si="45"/>
        <v>347905</v>
      </c>
      <c r="B942" s="10">
        <f t="shared" si="46"/>
        <v>24.087</v>
      </c>
      <c r="C942" s="77" t="s">
        <v>5537</v>
      </c>
      <c r="D942" s="191" t="str">
        <f t="shared" si="44"/>
        <v>V-StrongLumio Dvojlinka 2x0,5mm2 20AWG červeno-černá (347904)</v>
      </c>
      <c r="E942" s="77" t="s">
        <v>3791</v>
      </c>
      <c r="F942" s="77" t="s">
        <v>794</v>
      </c>
      <c r="G942" s="77" t="s">
        <v>3793</v>
      </c>
      <c r="H942" s="77" t="s">
        <v>3792</v>
      </c>
      <c r="I942" s="77" t="s">
        <v>992</v>
      </c>
      <c r="J942" s="90">
        <v>10</v>
      </c>
      <c r="K942" s="91">
        <v>0.1</v>
      </c>
      <c r="L942" s="77" t="s">
        <v>6566</v>
      </c>
      <c r="M942" s="78">
        <v>24.087</v>
      </c>
      <c r="N942" s="79">
        <v>1.1000099999999999</v>
      </c>
      <c r="O942" s="79">
        <v>2.7030599999999998</v>
      </c>
      <c r="P942" s="79">
        <v>373.05682000000002</v>
      </c>
      <c r="Q942" s="77"/>
      <c r="R942" s="77"/>
      <c r="S942" s="77"/>
      <c r="T942" s="77"/>
      <c r="U942" s="77"/>
      <c r="V942" s="87"/>
      <c r="W942" s="87"/>
      <c r="X942" s="87"/>
      <c r="Y942" s="77"/>
      <c r="Z942" s="88"/>
      <c r="AA942" s="35"/>
      <c r="AB942" s="35"/>
    </row>
    <row r="943" spans="1:28" x14ac:dyDescent="0.25">
      <c r="A943" s="68" t="str">
        <f t="shared" si="45"/>
        <v>523508</v>
      </c>
      <c r="B943" s="10">
        <f t="shared" si="46"/>
        <v>90.598200000000006</v>
      </c>
      <c r="C943" s="77" t="s">
        <v>5538</v>
      </c>
      <c r="D943" s="191" t="str">
        <f t="shared" si="44"/>
        <v>V-StrongLumio flexibilní dotykový vypínač/stmívač do alu profilu (507818)</v>
      </c>
      <c r="E943" s="77" t="s">
        <v>3794</v>
      </c>
      <c r="F943" s="77" t="s">
        <v>3795</v>
      </c>
      <c r="G943" s="77" t="s">
        <v>3797</v>
      </c>
      <c r="H943" s="77" t="s">
        <v>3796</v>
      </c>
      <c r="I943" s="77" t="s">
        <v>795</v>
      </c>
      <c r="J943" s="90">
        <v>40</v>
      </c>
      <c r="K943" s="91">
        <v>1</v>
      </c>
      <c r="L943" s="77" t="s">
        <v>6566</v>
      </c>
      <c r="M943" s="78">
        <v>90.598200000000006</v>
      </c>
      <c r="N943" s="79">
        <v>4.1205100000000003</v>
      </c>
      <c r="O943" s="79">
        <v>17.132909999999999</v>
      </c>
      <c r="P943" s="79">
        <v>1492.4679699999999</v>
      </c>
      <c r="Q943" s="77"/>
      <c r="R943" s="77"/>
      <c r="S943" s="77"/>
      <c r="T943" s="77"/>
      <c r="U943" s="77"/>
      <c r="V943" s="87"/>
      <c r="W943" s="87"/>
      <c r="X943" s="87"/>
      <c r="Y943" s="77"/>
      <c r="Z943" s="88"/>
      <c r="AA943" s="35"/>
      <c r="AB943" s="35"/>
    </row>
    <row r="944" spans="1:28" x14ac:dyDescent="0.25">
      <c r="A944" s="68" t="str">
        <f t="shared" si="45"/>
        <v>245925</v>
      </c>
      <c r="B944" s="10">
        <f t="shared" si="46"/>
        <v>16.2288</v>
      </c>
      <c r="C944" s="77" t="s">
        <v>5539</v>
      </c>
      <c r="D944" s="191" t="str">
        <f t="shared" si="44"/>
        <v>V-StrongLumio koncovka k profilu Mikro (pár) (230845)</v>
      </c>
      <c r="E944" s="77" t="s">
        <v>3798</v>
      </c>
      <c r="F944" s="77" t="s">
        <v>3799</v>
      </c>
      <c r="G944" s="77" t="s">
        <v>3801</v>
      </c>
      <c r="H944" s="77" t="s">
        <v>3800</v>
      </c>
      <c r="I944" s="77" t="s">
        <v>1463</v>
      </c>
      <c r="J944" s="90">
        <v>100</v>
      </c>
      <c r="K944" s="91">
        <v>1</v>
      </c>
      <c r="L944" s="77" t="s">
        <v>6566</v>
      </c>
      <c r="M944" s="78">
        <v>16.2288</v>
      </c>
      <c r="N944" s="79">
        <v>0.63973999999999998</v>
      </c>
      <c r="O944" s="79">
        <v>1.5078400000000001</v>
      </c>
      <c r="P944" s="79">
        <v>229.99999</v>
      </c>
      <c r="Q944" s="77"/>
      <c r="R944" s="77"/>
      <c r="S944" s="77"/>
      <c r="T944" s="77"/>
      <c r="U944" s="77"/>
      <c r="V944" s="87"/>
      <c r="W944" s="87"/>
      <c r="X944" s="87"/>
      <c r="Y944" s="77"/>
      <c r="Z944" s="88"/>
      <c r="AA944" s="35"/>
      <c r="AB944" s="35"/>
    </row>
    <row r="945" spans="1:28" x14ac:dyDescent="0.25">
      <c r="A945" s="68" t="str">
        <f t="shared" si="45"/>
        <v>529568</v>
      </c>
      <c r="B945" s="10">
        <f t="shared" si="46"/>
        <v>16.595700000000001</v>
      </c>
      <c r="C945" s="77" t="s">
        <v>5540</v>
      </c>
      <c r="D945" s="191" t="str">
        <f t="shared" si="44"/>
        <v>V-StrongLumio koncovka pro LED pásek neon, bez otvoru (405477)</v>
      </c>
      <c r="E945" s="77" t="s">
        <v>3802</v>
      </c>
      <c r="F945" s="77" t="s">
        <v>3803</v>
      </c>
      <c r="G945" s="77" t="s">
        <v>3805</v>
      </c>
      <c r="H945" s="77" t="s">
        <v>3804</v>
      </c>
      <c r="I945" s="77" t="s">
        <v>795</v>
      </c>
      <c r="J945" s="90">
        <v>100</v>
      </c>
      <c r="K945" s="91">
        <v>1</v>
      </c>
      <c r="L945" s="77" t="s">
        <v>6566</v>
      </c>
      <c r="M945" s="78">
        <v>16.595700000000001</v>
      </c>
      <c r="N945" s="79">
        <v>0.68920000000000003</v>
      </c>
      <c r="O945" s="79">
        <v>1.9952700000000001</v>
      </c>
      <c r="P945" s="79">
        <v>231.68280999999999</v>
      </c>
      <c r="Q945" s="77"/>
      <c r="R945" s="77"/>
      <c r="S945" s="77"/>
      <c r="T945" s="77"/>
      <c r="U945" s="77"/>
      <c r="V945" s="87"/>
      <c r="W945" s="87"/>
      <c r="X945" s="87"/>
      <c r="Y945" s="77"/>
      <c r="Z945" s="88"/>
      <c r="AA945" s="35"/>
      <c r="AB945" s="35"/>
    </row>
    <row r="946" spans="1:28" x14ac:dyDescent="0.25">
      <c r="A946" s="68" t="str">
        <f t="shared" si="45"/>
        <v>557864</v>
      </c>
      <c r="B946" s="10">
        <f t="shared" si="46"/>
        <v>17.651789999999998</v>
      </c>
      <c r="C946" s="77" t="s">
        <v>6296</v>
      </c>
      <c r="D946" s="191" t="str">
        <f t="shared" si="44"/>
        <v>V-StrongLumio koncovka pro LED pásek neon, s otvorem (405478)</v>
      </c>
      <c r="E946" s="77" t="s">
        <v>6297</v>
      </c>
      <c r="F946" s="77" t="s">
        <v>1478</v>
      </c>
      <c r="G946" s="77" t="s">
        <v>1480</v>
      </c>
      <c r="H946" s="77" t="s">
        <v>1479</v>
      </c>
      <c r="I946" s="77" t="s">
        <v>795</v>
      </c>
      <c r="J946" s="90">
        <v>100</v>
      </c>
      <c r="K946" s="91">
        <v>1</v>
      </c>
      <c r="L946" s="77" t="s">
        <v>6566</v>
      </c>
      <c r="M946" s="78">
        <v>17.651789999999998</v>
      </c>
      <c r="N946" s="79">
        <v>0.26901000000000003</v>
      </c>
      <c r="O946" s="79">
        <v>0</v>
      </c>
      <c r="P946" s="79">
        <v>0</v>
      </c>
      <c r="Q946" s="77"/>
      <c r="R946" s="77"/>
      <c r="S946" s="77"/>
      <c r="T946" s="77"/>
      <c r="U946" s="77"/>
      <c r="V946" s="87"/>
      <c r="W946" s="87"/>
      <c r="X946" s="87"/>
      <c r="Y946" s="77"/>
      <c r="Z946" s="88"/>
      <c r="AA946" s="35"/>
      <c r="AB946" s="35"/>
    </row>
    <row r="947" spans="1:28" x14ac:dyDescent="0.25">
      <c r="A947" s="68" t="str">
        <f t="shared" si="45"/>
        <v>472234</v>
      </c>
      <c r="B947" s="10">
        <f t="shared" si="46"/>
        <v>7.5327999999999999</v>
      </c>
      <c r="C947" s="77" t="s">
        <v>5541</v>
      </c>
      <c r="D947" s="191" t="str">
        <f t="shared" si="44"/>
        <v>V-StrongLumio koncovka pro LED profil Arbona (405213)</v>
      </c>
      <c r="E947" s="77" t="s">
        <v>3806</v>
      </c>
      <c r="F947" s="77" t="s">
        <v>3807</v>
      </c>
      <c r="G947" s="77" t="s">
        <v>3809</v>
      </c>
      <c r="H947" s="77" t="s">
        <v>3808</v>
      </c>
      <c r="I947" s="77" t="s">
        <v>795</v>
      </c>
      <c r="J947" s="90">
        <v>100</v>
      </c>
      <c r="K947" s="91">
        <v>1</v>
      </c>
      <c r="L947" s="77" t="s">
        <v>160</v>
      </c>
      <c r="M947" s="78">
        <v>7.5327999999999999</v>
      </c>
      <c r="N947" s="79">
        <v>0.29921999999999999</v>
      </c>
      <c r="O947" s="79">
        <v>0.58040999999999998</v>
      </c>
      <c r="P947" s="79">
        <v>113.80907999999999</v>
      </c>
      <c r="Q947" s="77"/>
      <c r="R947" s="77"/>
      <c r="S947" s="77"/>
      <c r="T947" s="77"/>
      <c r="U947" s="77"/>
      <c r="V947" s="87"/>
      <c r="W947" s="87"/>
      <c r="X947" s="87"/>
      <c r="Y947" s="77"/>
      <c r="Z947" s="88"/>
      <c r="AA947" s="35"/>
      <c r="AB947" s="35"/>
    </row>
    <row r="948" spans="1:28" x14ac:dyDescent="0.25">
      <c r="A948" s="68" t="str">
        <f t="shared" si="45"/>
        <v>368104</v>
      </c>
      <c r="B948" s="10">
        <f t="shared" si="46"/>
        <v>7.5327999999999999</v>
      </c>
      <c r="C948" s="77" t="s">
        <v>5542</v>
      </c>
      <c r="D948" s="191" t="str">
        <f t="shared" si="44"/>
        <v>V-StrongLumio koncovka pro LED profil Ormio (342523)</v>
      </c>
      <c r="E948" s="77" t="s">
        <v>3810</v>
      </c>
      <c r="F948" s="77" t="s">
        <v>3811</v>
      </c>
      <c r="G948" s="77" t="s">
        <v>3813</v>
      </c>
      <c r="H948" s="77" t="s">
        <v>3812</v>
      </c>
      <c r="I948" s="77" t="s">
        <v>795</v>
      </c>
      <c r="J948" s="90">
        <v>100</v>
      </c>
      <c r="K948" s="91">
        <v>1</v>
      </c>
      <c r="L948" s="77" t="s">
        <v>160</v>
      </c>
      <c r="M948" s="78">
        <v>7.5327999999999999</v>
      </c>
      <c r="N948" s="79">
        <v>0.29921999999999999</v>
      </c>
      <c r="O948" s="79">
        <v>0.91137999999999997</v>
      </c>
      <c r="P948" s="79">
        <v>113.80907999999999</v>
      </c>
      <c r="Q948" s="77"/>
      <c r="R948" s="77"/>
      <c r="S948" s="77"/>
      <c r="T948" s="77"/>
      <c r="U948" s="77"/>
      <c r="V948" s="87"/>
      <c r="W948" s="87"/>
      <c r="X948" s="87"/>
      <c r="Y948" s="77"/>
      <c r="Z948" s="88"/>
      <c r="AA948" s="35"/>
      <c r="AB948" s="35"/>
    </row>
    <row r="949" spans="1:28" x14ac:dyDescent="0.25">
      <c r="A949" s="68" t="str">
        <f t="shared" si="45"/>
        <v>557876</v>
      </c>
      <c r="B949" s="10">
        <f t="shared" si="46"/>
        <v>9.6850100000000001</v>
      </c>
      <c r="C949" s="77" t="s">
        <v>6314</v>
      </c>
      <c r="D949" s="191" t="str">
        <f t="shared" si="44"/>
        <v>V-StrongLumio koncovka pro neon 4x10 "T", bez otvoru (546652)</v>
      </c>
      <c r="E949" s="77" t="s">
        <v>6315</v>
      </c>
      <c r="F949" s="77" t="s">
        <v>1482</v>
      </c>
      <c r="G949" s="77" t="s">
        <v>6429</v>
      </c>
      <c r="H949" s="77" t="s">
        <v>1483</v>
      </c>
      <c r="I949" s="77" t="s">
        <v>795</v>
      </c>
      <c r="J949" s="90">
        <v>500</v>
      </c>
      <c r="K949" s="91">
        <v>1</v>
      </c>
      <c r="L949" s="77" t="s">
        <v>6566</v>
      </c>
      <c r="M949" s="78">
        <v>9.6850100000000001</v>
      </c>
      <c r="N949" s="79">
        <v>0.40350999999999998</v>
      </c>
      <c r="O949" s="79">
        <v>0</v>
      </c>
      <c r="P949" s="79">
        <v>0</v>
      </c>
      <c r="Q949" s="77"/>
      <c r="R949" s="77"/>
      <c r="S949" s="77"/>
      <c r="T949" s="77"/>
      <c r="U949" s="77"/>
      <c r="V949" s="87"/>
      <c r="W949" s="87"/>
      <c r="X949" s="87"/>
      <c r="Y949" s="77"/>
      <c r="Z949" s="88"/>
      <c r="AA949" s="35"/>
      <c r="AB949" s="35"/>
    </row>
    <row r="950" spans="1:28" x14ac:dyDescent="0.25">
      <c r="A950" s="68" t="str">
        <f t="shared" si="45"/>
        <v>557875</v>
      </c>
      <c r="B950" s="10">
        <f t="shared" si="46"/>
        <v>13.989459999999999</v>
      </c>
      <c r="C950" s="77" t="s">
        <v>6312</v>
      </c>
      <c r="D950" s="191" t="str">
        <f t="shared" si="44"/>
        <v>V-StrongLumio koncovka pro neon 4x10 "T", s otvorem (546641)</v>
      </c>
      <c r="E950" s="77" t="s">
        <v>6313</v>
      </c>
      <c r="F950" s="77" t="s">
        <v>1485</v>
      </c>
      <c r="G950" s="77" t="s">
        <v>6430</v>
      </c>
      <c r="H950" s="77" t="s">
        <v>1486</v>
      </c>
      <c r="I950" s="77" t="s">
        <v>795</v>
      </c>
      <c r="J950" s="90">
        <v>100</v>
      </c>
      <c r="K950" s="91">
        <v>1</v>
      </c>
      <c r="L950" s="77" t="s">
        <v>6566</v>
      </c>
      <c r="M950" s="78">
        <v>13.989459999999999</v>
      </c>
      <c r="N950" s="79">
        <v>0.58282</v>
      </c>
      <c r="O950" s="79">
        <v>0</v>
      </c>
      <c r="P950" s="79">
        <v>0</v>
      </c>
      <c r="Q950" s="77"/>
      <c r="R950" s="77"/>
      <c r="S950" s="77"/>
      <c r="T950" s="77"/>
      <c r="U950" s="77"/>
      <c r="V950" s="87"/>
      <c r="W950" s="87"/>
      <c r="X950" s="87"/>
      <c r="Y950" s="77"/>
      <c r="Z950" s="88"/>
      <c r="AA950" s="35"/>
      <c r="AB950" s="35"/>
    </row>
    <row r="951" spans="1:28" x14ac:dyDescent="0.25">
      <c r="A951" s="68" t="str">
        <f t="shared" si="45"/>
        <v>557871</v>
      </c>
      <c r="B951" s="10">
        <f t="shared" si="46"/>
        <v>16.141680000000001</v>
      </c>
      <c r="C951" s="77" t="s">
        <v>6304</v>
      </c>
      <c r="D951" s="191" t="str">
        <f t="shared" si="44"/>
        <v>V-StrongLumio koncovka pro neon 6x12 bez otvoru (546628)</v>
      </c>
      <c r="E951" s="77" t="s">
        <v>6305</v>
      </c>
      <c r="F951" s="77" t="s">
        <v>1488</v>
      </c>
      <c r="G951" s="77" t="s">
        <v>6431</v>
      </c>
      <c r="H951" s="77" t="s">
        <v>1489</v>
      </c>
      <c r="I951" s="77" t="s">
        <v>795</v>
      </c>
      <c r="J951" s="90">
        <v>100</v>
      </c>
      <c r="K951" s="91">
        <v>1</v>
      </c>
      <c r="L951" s="77" t="s">
        <v>6566</v>
      </c>
      <c r="M951" s="78">
        <v>16.141680000000001</v>
      </c>
      <c r="N951" s="79">
        <v>0.67252000000000001</v>
      </c>
      <c r="O951" s="79">
        <v>0</v>
      </c>
      <c r="P951" s="79">
        <v>0</v>
      </c>
      <c r="Q951" s="77"/>
      <c r="R951" s="77"/>
      <c r="S951" s="77"/>
      <c r="T951" s="77"/>
      <c r="U951" s="77"/>
      <c r="V951" s="87"/>
      <c r="W951" s="87"/>
      <c r="X951" s="87"/>
      <c r="Y951" s="77"/>
      <c r="Z951" s="88"/>
      <c r="AA951" s="35"/>
      <c r="AB951" s="35"/>
    </row>
    <row r="952" spans="1:28" x14ac:dyDescent="0.25">
      <c r="A952" s="68" t="str">
        <f t="shared" si="45"/>
        <v>529562</v>
      </c>
      <c r="B952" s="10">
        <f t="shared" si="46"/>
        <v>16.595700000000001</v>
      </c>
      <c r="C952" s="77" t="s">
        <v>5543</v>
      </c>
      <c r="D952" s="191" t="str">
        <f t="shared" si="44"/>
        <v>V-StrongLumio koncovka pro silikonový profil 8x16mm, bez otvoru (406054)</v>
      </c>
      <c r="E952" s="77" t="s">
        <v>3814</v>
      </c>
      <c r="F952" s="77" t="s">
        <v>3815</v>
      </c>
      <c r="G952" s="77" t="s">
        <v>3817</v>
      </c>
      <c r="H952" s="77" t="s">
        <v>3816</v>
      </c>
      <c r="I952" s="77" t="s">
        <v>795</v>
      </c>
      <c r="J952" s="90">
        <v>100</v>
      </c>
      <c r="K952" s="91">
        <v>1</v>
      </c>
      <c r="L952" s="77" t="s">
        <v>6566</v>
      </c>
      <c r="M952" s="78">
        <v>16.595700000000001</v>
      </c>
      <c r="N952" s="79">
        <v>0.68920000000000003</v>
      </c>
      <c r="O952" s="79">
        <v>1.9952700000000001</v>
      </c>
      <c r="P952" s="79">
        <v>231.68280999999999</v>
      </c>
      <c r="Q952" s="77"/>
      <c r="R952" s="77"/>
      <c r="S952" s="77"/>
      <c r="T952" s="77"/>
      <c r="U952" s="77"/>
      <c r="V952" s="87"/>
      <c r="W952" s="87"/>
      <c r="X952" s="87"/>
      <c r="Y952" s="77"/>
      <c r="Z952" s="88"/>
      <c r="AA952" s="35"/>
      <c r="AB952" s="35"/>
    </row>
    <row r="953" spans="1:28" x14ac:dyDescent="0.25">
      <c r="A953" s="68" t="str">
        <f t="shared" si="45"/>
        <v>343090</v>
      </c>
      <c r="B953" s="10">
        <f t="shared" si="46"/>
        <v>17.243099999999998</v>
      </c>
      <c r="C953" s="77" t="s">
        <v>5544</v>
      </c>
      <c r="D953" s="191" t="str">
        <f t="shared" si="44"/>
        <v>V-StrongLumio koncovky k liště ARC půlkulaté (pár) šedá (343064)</v>
      </c>
      <c r="E953" s="77" t="s">
        <v>3818</v>
      </c>
      <c r="F953" s="77" t="s">
        <v>3819</v>
      </c>
      <c r="G953" s="77" t="s">
        <v>3821</v>
      </c>
      <c r="H953" s="77" t="s">
        <v>3820</v>
      </c>
      <c r="I953" s="77" t="s">
        <v>1463</v>
      </c>
      <c r="J953" s="90">
        <v>10</v>
      </c>
      <c r="K953" s="91">
        <v>1</v>
      </c>
      <c r="L953" s="77" t="s">
        <v>6566</v>
      </c>
      <c r="M953" s="78">
        <v>17.243099999999998</v>
      </c>
      <c r="N953" s="79">
        <v>0.67972999999999995</v>
      </c>
      <c r="O953" s="79">
        <v>1.8143</v>
      </c>
      <c r="P953" s="79">
        <v>244.37501</v>
      </c>
      <c r="Q953" s="77"/>
      <c r="R953" s="77"/>
      <c r="S953" s="77"/>
      <c r="T953" s="77"/>
      <c r="U953" s="77"/>
      <c r="V953" s="87"/>
      <c r="W953" s="87"/>
      <c r="X953" s="87"/>
      <c r="Y953" s="77"/>
      <c r="Z953" s="88"/>
      <c r="AA953" s="35"/>
      <c r="AB953" s="35"/>
    </row>
    <row r="954" spans="1:28" x14ac:dyDescent="0.25">
      <c r="A954" s="68" t="str">
        <f t="shared" si="45"/>
        <v>385087</v>
      </c>
      <c r="B954" s="10">
        <f t="shared" si="46"/>
        <v>17.243099999999998</v>
      </c>
      <c r="C954" s="77" t="s">
        <v>5545</v>
      </c>
      <c r="D954" s="191" t="str">
        <f t="shared" si="44"/>
        <v>V-StrongLumio koncovky k liště ARC rovné (pár)</v>
      </c>
      <c r="E954" s="77" t="s">
        <v>3822</v>
      </c>
      <c r="F954" s="77" t="s">
        <v>3823</v>
      </c>
      <c r="G954" s="77" t="s">
        <v>3825</v>
      </c>
      <c r="H954" s="77" t="s">
        <v>3824</v>
      </c>
      <c r="I954" s="77" t="s">
        <v>1463</v>
      </c>
      <c r="J954" s="90">
        <v>10</v>
      </c>
      <c r="K954" s="91">
        <v>1</v>
      </c>
      <c r="L954" s="77" t="s">
        <v>6566</v>
      </c>
      <c r="M954" s="78">
        <v>17.243099999999998</v>
      </c>
      <c r="N954" s="79">
        <v>0.67972999999999995</v>
      </c>
      <c r="O954" s="79">
        <v>1.8143</v>
      </c>
      <c r="P954" s="79">
        <v>244.37501</v>
      </c>
      <c r="Q954" s="77"/>
      <c r="R954" s="77"/>
      <c r="S954" s="77"/>
      <c r="T954" s="77"/>
      <c r="U954" s="77"/>
      <c r="V954" s="87"/>
      <c r="W954" s="87"/>
      <c r="X954" s="87"/>
      <c r="Y954" s="77"/>
      <c r="Z954" s="88"/>
      <c r="AA954" s="35"/>
      <c r="AB954" s="35"/>
    </row>
    <row r="955" spans="1:28" x14ac:dyDescent="0.25">
      <c r="A955" s="68" t="str">
        <f t="shared" si="45"/>
        <v>310690</v>
      </c>
      <c r="B955" s="10">
        <f t="shared" si="46"/>
        <v>16.735949999999999</v>
      </c>
      <c r="C955" s="77" t="s">
        <v>5546</v>
      </c>
      <c r="D955" s="191" t="str">
        <f t="shared" si="44"/>
        <v>V-StrongLumio koncovky k liště Begtin 12 bílá (pár) (285039)</v>
      </c>
      <c r="E955" s="77" t="s">
        <v>3826</v>
      </c>
      <c r="F955" s="77" t="s">
        <v>3827</v>
      </c>
      <c r="G955" s="77" t="s">
        <v>3829</v>
      </c>
      <c r="H955" s="77" t="s">
        <v>3828</v>
      </c>
      <c r="I955" s="77" t="s">
        <v>1463</v>
      </c>
      <c r="J955" s="90">
        <v>100</v>
      </c>
      <c r="K955" s="91">
        <v>1</v>
      </c>
      <c r="L955" s="77" t="s">
        <v>6566</v>
      </c>
      <c r="M955" s="78">
        <v>16.735949999999999</v>
      </c>
      <c r="N955" s="79">
        <v>0.65973999999999999</v>
      </c>
      <c r="O955" s="79">
        <v>1.64069</v>
      </c>
      <c r="P955" s="79">
        <v>237.1875</v>
      </c>
      <c r="Q955" s="77"/>
      <c r="R955" s="77"/>
      <c r="S955" s="77"/>
      <c r="T955" s="77"/>
      <c r="U955" s="77"/>
      <c r="V955" s="87"/>
      <c r="W955" s="87"/>
      <c r="X955" s="87"/>
      <c r="Y955" s="77"/>
      <c r="Z955" s="88"/>
      <c r="AA955" s="35"/>
      <c r="AB955" s="35"/>
    </row>
    <row r="956" spans="1:28" x14ac:dyDescent="0.25">
      <c r="A956" s="68" t="str">
        <f t="shared" si="45"/>
        <v>310691</v>
      </c>
      <c r="B956" s="10">
        <f t="shared" si="46"/>
        <v>16.735949999999999</v>
      </c>
      <c r="C956" s="77" t="s">
        <v>5547</v>
      </c>
      <c r="D956" s="191" t="str">
        <f t="shared" si="44"/>
        <v>V-StrongLumio koncovky k liště Begtin 12 černá (pár) (285040)</v>
      </c>
      <c r="E956" s="77" t="s">
        <v>3830</v>
      </c>
      <c r="F956" s="77" t="s">
        <v>3831</v>
      </c>
      <c r="G956" s="77" t="s">
        <v>3833</v>
      </c>
      <c r="H956" s="77" t="s">
        <v>3832</v>
      </c>
      <c r="I956" s="77" t="s">
        <v>1463</v>
      </c>
      <c r="J956" s="90">
        <v>100</v>
      </c>
      <c r="K956" s="91">
        <v>1</v>
      </c>
      <c r="L956" s="77" t="s">
        <v>6566</v>
      </c>
      <c r="M956" s="78">
        <v>16.735949999999999</v>
      </c>
      <c r="N956" s="79">
        <v>0.65973999999999999</v>
      </c>
      <c r="O956" s="79">
        <v>1.80545</v>
      </c>
      <c r="P956" s="79">
        <v>237.1875</v>
      </c>
      <c r="Q956" s="77"/>
      <c r="R956" s="77"/>
      <c r="S956" s="77"/>
      <c r="T956" s="77"/>
      <c r="U956" s="77"/>
      <c r="V956" s="87"/>
      <c r="W956" s="87"/>
      <c r="X956" s="87"/>
      <c r="Y956" s="77"/>
      <c r="Z956" s="88"/>
      <c r="AA956" s="35"/>
      <c r="AB956" s="35"/>
    </row>
    <row r="957" spans="1:28" x14ac:dyDescent="0.25">
      <c r="A957" s="68" t="str">
        <f t="shared" si="45"/>
        <v>310689</v>
      </c>
      <c r="B957" s="10">
        <f t="shared" si="46"/>
        <v>16.735949999999999</v>
      </c>
      <c r="C957" s="77" t="s">
        <v>5548</v>
      </c>
      <c r="D957" s="191" t="str">
        <f t="shared" si="44"/>
        <v>V-StrongLumio koncovky k liště Begtin 12 šedá (pár) (285038)</v>
      </c>
      <c r="E957" s="77" t="s">
        <v>3834</v>
      </c>
      <c r="F957" s="77" t="s">
        <v>3835</v>
      </c>
      <c r="G957" s="77" t="s">
        <v>3837</v>
      </c>
      <c r="H957" s="77" t="s">
        <v>3836</v>
      </c>
      <c r="I957" s="77" t="s">
        <v>1463</v>
      </c>
      <c r="J957" s="90">
        <v>100</v>
      </c>
      <c r="K957" s="91">
        <v>1</v>
      </c>
      <c r="L957" s="77" t="s">
        <v>6566</v>
      </c>
      <c r="M957" s="78">
        <v>16.735949999999999</v>
      </c>
      <c r="N957" s="79">
        <v>0.65973999999999999</v>
      </c>
      <c r="O957" s="79">
        <v>1.76024</v>
      </c>
      <c r="P957" s="79">
        <v>237.1875</v>
      </c>
      <c r="Q957" s="77"/>
      <c r="R957" s="77"/>
      <c r="S957" s="77"/>
      <c r="T957" s="77"/>
      <c r="U957" s="77"/>
      <c r="V957" s="87"/>
      <c r="W957" s="87"/>
      <c r="X957" s="87"/>
      <c r="Y957" s="77"/>
      <c r="Z957" s="88"/>
      <c r="AA957" s="35"/>
      <c r="AB957" s="35"/>
    </row>
    <row r="958" spans="1:28" x14ac:dyDescent="0.25">
      <c r="A958" s="68" t="str">
        <f t="shared" si="45"/>
        <v>310696</v>
      </c>
      <c r="B958" s="10">
        <f t="shared" si="46"/>
        <v>17.243099999999998</v>
      </c>
      <c r="C958" s="77" t="s">
        <v>5549</v>
      </c>
      <c r="D958" s="191" t="str">
        <f t="shared" si="44"/>
        <v>V-StrongLumio koncovky k liště Begton bílá (pár) (285046)</v>
      </c>
      <c r="E958" s="77" t="s">
        <v>3838</v>
      </c>
      <c r="F958" s="77" t="s">
        <v>3839</v>
      </c>
      <c r="G958" s="77" t="s">
        <v>3841</v>
      </c>
      <c r="H958" s="77" t="s">
        <v>3840</v>
      </c>
      <c r="I958" s="77" t="s">
        <v>1463</v>
      </c>
      <c r="J958" s="90">
        <v>100</v>
      </c>
      <c r="K958" s="91">
        <v>1</v>
      </c>
      <c r="L958" s="77" t="s">
        <v>6566</v>
      </c>
      <c r="M958" s="78">
        <v>17.243099999999998</v>
      </c>
      <c r="N958" s="79">
        <v>0.67972999999999995</v>
      </c>
      <c r="O958" s="79">
        <v>1.8276300000000001</v>
      </c>
      <c r="P958" s="79">
        <v>244.37501</v>
      </c>
      <c r="Q958" s="77"/>
      <c r="R958" s="77"/>
      <c r="S958" s="77"/>
      <c r="T958" s="77"/>
      <c r="U958" s="77"/>
      <c r="V958" s="87"/>
      <c r="W958" s="87"/>
      <c r="X958" s="87"/>
      <c r="Y958" s="77"/>
      <c r="Z958" s="88"/>
      <c r="AA958" s="35"/>
      <c r="AB958" s="35"/>
    </row>
    <row r="959" spans="1:28" x14ac:dyDescent="0.25">
      <c r="A959" s="68" t="str">
        <f t="shared" si="45"/>
        <v>310698</v>
      </c>
      <c r="B959" s="10">
        <f t="shared" si="46"/>
        <v>17.243099999999998</v>
      </c>
      <c r="C959" s="77" t="s">
        <v>5550</v>
      </c>
      <c r="D959" s="191" t="str">
        <f t="shared" si="44"/>
        <v>V-StrongLumio koncovky k liště Begton černá (pár) (285047)</v>
      </c>
      <c r="E959" s="77" t="s">
        <v>3842</v>
      </c>
      <c r="F959" s="77" t="s">
        <v>3843</v>
      </c>
      <c r="G959" s="77" t="s">
        <v>3845</v>
      </c>
      <c r="H959" s="77" t="s">
        <v>3844</v>
      </c>
      <c r="I959" s="77" t="s">
        <v>1463</v>
      </c>
      <c r="J959" s="90">
        <v>100</v>
      </c>
      <c r="K959" s="91">
        <v>1</v>
      </c>
      <c r="L959" s="77" t="s">
        <v>6566</v>
      </c>
      <c r="M959" s="78">
        <v>17.243099999999998</v>
      </c>
      <c r="N959" s="79">
        <v>0.67972999999999995</v>
      </c>
      <c r="O959" s="79">
        <v>1.90002</v>
      </c>
      <c r="P959" s="79">
        <v>244.37501</v>
      </c>
      <c r="Q959" s="77"/>
      <c r="R959" s="77"/>
      <c r="S959" s="77"/>
      <c r="T959" s="77"/>
      <c r="U959" s="77"/>
      <c r="V959" s="87"/>
      <c r="W959" s="87"/>
      <c r="X959" s="87"/>
      <c r="Y959" s="77"/>
      <c r="Z959" s="88"/>
      <c r="AA959" s="35"/>
      <c r="AB959" s="35"/>
    </row>
    <row r="960" spans="1:28" x14ac:dyDescent="0.25">
      <c r="A960" s="68" t="str">
        <f t="shared" si="45"/>
        <v>308442</v>
      </c>
      <c r="B960" s="10">
        <f t="shared" si="46"/>
        <v>16.735949999999999</v>
      </c>
      <c r="C960" s="77" t="s">
        <v>5551</v>
      </c>
      <c r="D960" s="191" t="str">
        <f t="shared" si="44"/>
        <v>V-StrongLumio koncovky k liště Begton šedá (pár) (285045)</v>
      </c>
      <c r="E960" s="77" t="s">
        <v>3846</v>
      </c>
      <c r="F960" s="77" t="s">
        <v>3847</v>
      </c>
      <c r="G960" s="77" t="s">
        <v>3849</v>
      </c>
      <c r="H960" s="77" t="s">
        <v>3848</v>
      </c>
      <c r="I960" s="77" t="s">
        <v>1463</v>
      </c>
      <c r="J960" s="90">
        <v>100</v>
      </c>
      <c r="K960" s="91">
        <v>1</v>
      </c>
      <c r="L960" s="77" t="s">
        <v>6566</v>
      </c>
      <c r="M960" s="78">
        <v>16.735949999999999</v>
      </c>
      <c r="N960" s="79">
        <v>0.65973999999999999</v>
      </c>
      <c r="O960" s="79">
        <v>1.83372</v>
      </c>
      <c r="P960" s="79">
        <v>237.1875</v>
      </c>
      <c r="Q960" s="77"/>
      <c r="R960" s="77"/>
      <c r="S960" s="77"/>
      <c r="T960" s="77"/>
      <c r="U960" s="77"/>
      <c r="V960" s="87"/>
      <c r="W960" s="87"/>
      <c r="X960" s="87"/>
      <c r="Y960" s="77"/>
      <c r="Z960" s="88"/>
      <c r="AA960" s="35"/>
      <c r="AB960" s="35"/>
    </row>
    <row r="961" spans="1:28" x14ac:dyDescent="0.25">
      <c r="A961" s="68" t="str">
        <f t="shared" si="45"/>
        <v>484675</v>
      </c>
      <c r="B961" s="10">
        <f t="shared" si="46"/>
        <v>17.243099999999998</v>
      </c>
      <c r="C961" s="77" t="s">
        <v>5552</v>
      </c>
      <c r="D961" s="191" t="str">
        <f t="shared" si="44"/>
        <v>V-StrongLumio koncovky k liště Cabi černá (pár) (315781)</v>
      </c>
      <c r="E961" s="77" t="s">
        <v>3850</v>
      </c>
      <c r="F961" s="77" t="s">
        <v>3851</v>
      </c>
      <c r="G961" s="77" t="s">
        <v>3853</v>
      </c>
      <c r="H961" s="77" t="s">
        <v>3852</v>
      </c>
      <c r="I961" s="77" t="s">
        <v>1463</v>
      </c>
      <c r="J961" s="90">
        <v>10</v>
      </c>
      <c r="K961" s="91">
        <v>1</v>
      </c>
      <c r="L961" s="77" t="s">
        <v>6566</v>
      </c>
      <c r="M961" s="78">
        <v>17.243099999999998</v>
      </c>
      <c r="N961" s="79">
        <v>0.67972999999999995</v>
      </c>
      <c r="O961" s="79">
        <v>1.8143</v>
      </c>
      <c r="P961" s="79">
        <v>244.37501</v>
      </c>
      <c r="Q961" s="77"/>
      <c r="R961" s="77"/>
      <c r="S961" s="77"/>
      <c r="T961" s="77"/>
      <c r="U961" s="77"/>
      <c r="V961" s="87"/>
      <c r="W961" s="87"/>
      <c r="X961" s="87"/>
      <c r="Y961" s="77"/>
      <c r="Z961" s="88"/>
      <c r="AA961" s="35"/>
      <c r="AB961" s="35"/>
    </row>
    <row r="962" spans="1:28" x14ac:dyDescent="0.25">
      <c r="A962" s="68" t="str">
        <f t="shared" si="45"/>
        <v>310776</v>
      </c>
      <c r="B962" s="10">
        <f t="shared" si="46"/>
        <v>23.937480000000001</v>
      </c>
      <c r="C962" s="77" t="s">
        <v>5553</v>
      </c>
      <c r="D962" s="191" t="str">
        <f t="shared" si="44"/>
        <v>V-StrongLumio koncovky k liště Cabi šedá (pár) (285085)</v>
      </c>
      <c r="E962" s="77" t="s">
        <v>3854</v>
      </c>
      <c r="F962" s="77" t="s">
        <v>3855</v>
      </c>
      <c r="G962" s="77" t="s">
        <v>3857</v>
      </c>
      <c r="H962" s="77" t="s">
        <v>3856</v>
      </c>
      <c r="I962" s="77" t="s">
        <v>1463</v>
      </c>
      <c r="J962" s="90">
        <v>10</v>
      </c>
      <c r="K962" s="91">
        <v>1</v>
      </c>
      <c r="L962" s="77" t="s">
        <v>6566</v>
      </c>
      <c r="M962" s="78">
        <v>23.937480000000001</v>
      </c>
      <c r="N962" s="79">
        <v>0.94362000000000001</v>
      </c>
      <c r="O962" s="79">
        <v>2.5392999999999999</v>
      </c>
      <c r="P962" s="79">
        <v>339.25000999999997</v>
      </c>
      <c r="Q962" s="77"/>
      <c r="R962" s="77"/>
      <c r="S962" s="77"/>
      <c r="T962" s="77"/>
      <c r="U962" s="77"/>
      <c r="V962" s="87"/>
      <c r="W962" s="87"/>
      <c r="X962" s="87"/>
      <c r="Y962" s="77"/>
      <c r="Z962" s="88"/>
      <c r="AA962" s="35"/>
      <c r="AB962" s="35"/>
    </row>
    <row r="963" spans="1:28" x14ac:dyDescent="0.25">
      <c r="A963" s="68" t="str">
        <f t="shared" si="45"/>
        <v>306403</v>
      </c>
      <c r="B963" s="10">
        <f t="shared" si="46"/>
        <v>17.243099999999998</v>
      </c>
      <c r="C963" s="77" t="s">
        <v>5554</v>
      </c>
      <c r="D963" s="191" t="str">
        <f t="shared" ref="D963:D1026" si="47">IF($B$1=1,E963,IF($B$1=2,F963,IF($B$1=3,G963,IF($B$1=4,H963))))</f>
        <v>V-StrongLumio koncovky k liště Corner 10 bílá (pár) (517412)</v>
      </c>
      <c r="E963" s="77" t="s">
        <v>3858</v>
      </c>
      <c r="F963" s="77" t="s">
        <v>3859</v>
      </c>
      <c r="G963" s="77" t="s">
        <v>3861</v>
      </c>
      <c r="H963" s="77" t="s">
        <v>3860</v>
      </c>
      <c r="I963" s="77" t="s">
        <v>1463</v>
      </c>
      <c r="J963" s="90">
        <v>100</v>
      </c>
      <c r="K963" s="91">
        <v>1</v>
      </c>
      <c r="L963" s="77" t="s">
        <v>6566</v>
      </c>
      <c r="M963" s="78">
        <v>17.243099999999998</v>
      </c>
      <c r="N963" s="79">
        <v>0.67972999999999995</v>
      </c>
      <c r="O963" s="79">
        <v>1.80545</v>
      </c>
      <c r="P963" s="79">
        <v>244.37501</v>
      </c>
      <c r="Q963" s="77"/>
      <c r="R963" s="77"/>
      <c r="S963" s="77"/>
      <c r="T963" s="77"/>
      <c r="U963" s="77"/>
      <c r="V963" s="87"/>
      <c r="W963" s="87"/>
      <c r="X963" s="87"/>
      <c r="Y963" s="77"/>
      <c r="Z963" s="88"/>
      <c r="AA963" s="35"/>
      <c r="AB963" s="35"/>
    </row>
    <row r="964" spans="1:28" x14ac:dyDescent="0.25">
      <c r="A964" s="68" t="str">
        <f t="shared" si="45"/>
        <v>245926</v>
      </c>
      <c r="B964" s="10">
        <f t="shared" si="46"/>
        <v>16.735949999999999</v>
      </c>
      <c r="C964" s="77" t="s">
        <v>5555</v>
      </c>
      <c r="D964" s="191" t="str">
        <f t="shared" si="47"/>
        <v>V-StrongLumio koncovky k liště Corner 10 černá (pár) (517342)</v>
      </c>
      <c r="E964" s="77" t="s">
        <v>3862</v>
      </c>
      <c r="F964" s="77" t="s">
        <v>3863</v>
      </c>
      <c r="G964" s="77" t="s">
        <v>3865</v>
      </c>
      <c r="H964" s="77" t="s">
        <v>3864</v>
      </c>
      <c r="I964" s="77" t="s">
        <v>1463</v>
      </c>
      <c r="J964" s="90">
        <v>100</v>
      </c>
      <c r="K964" s="91">
        <v>1</v>
      </c>
      <c r="L964" s="77" t="s">
        <v>6566</v>
      </c>
      <c r="M964" s="78">
        <v>16.735949999999999</v>
      </c>
      <c r="N964" s="79">
        <v>0.65973999999999999</v>
      </c>
      <c r="O964" s="79">
        <v>1.7856700000000001</v>
      </c>
      <c r="P964" s="79">
        <v>237.1875</v>
      </c>
      <c r="Q964" s="77"/>
      <c r="R964" s="77"/>
      <c r="S964" s="77"/>
      <c r="T964" s="77"/>
      <c r="U964" s="77"/>
      <c r="V964" s="87"/>
      <c r="W964" s="87"/>
      <c r="X964" s="87"/>
      <c r="Y964" s="77"/>
      <c r="Z964" s="88"/>
      <c r="AA964" s="35"/>
      <c r="AB964" s="35"/>
    </row>
    <row r="965" spans="1:28" x14ac:dyDescent="0.25">
      <c r="A965" s="68" t="str">
        <f t="shared" si="45"/>
        <v>208145</v>
      </c>
      <c r="B965" s="10">
        <f t="shared" si="46"/>
        <v>16.735949999999999</v>
      </c>
      <c r="C965" s="77" t="s">
        <v>5556</v>
      </c>
      <c r="D965" s="191" t="str">
        <f t="shared" si="47"/>
        <v>V-StrongLumio koncovky k liště Corner 10 šedá (pár) (516791)</v>
      </c>
      <c r="E965" s="77" t="s">
        <v>3866</v>
      </c>
      <c r="F965" s="77" t="s">
        <v>3867</v>
      </c>
      <c r="G965" s="77" t="s">
        <v>3869</v>
      </c>
      <c r="H965" s="77" t="s">
        <v>3868</v>
      </c>
      <c r="I965" s="77" t="s">
        <v>1463</v>
      </c>
      <c r="J965" s="90">
        <v>100</v>
      </c>
      <c r="K965" s="91">
        <v>1</v>
      </c>
      <c r="L965" s="77" t="s">
        <v>6566</v>
      </c>
      <c r="M965" s="78">
        <v>16.735949999999999</v>
      </c>
      <c r="N965" s="79">
        <v>0.65973999999999999</v>
      </c>
      <c r="O965" s="79">
        <v>1.75953</v>
      </c>
      <c r="P965" s="79">
        <v>237.1875</v>
      </c>
      <c r="Q965" s="77"/>
      <c r="R965" s="77"/>
      <c r="S965" s="77"/>
      <c r="T965" s="77"/>
      <c r="U965" s="77"/>
      <c r="V965" s="87"/>
      <c r="W965" s="87"/>
      <c r="X965" s="87"/>
      <c r="Y965" s="77"/>
      <c r="Z965" s="88"/>
      <c r="AA965" s="35"/>
      <c r="AB965" s="35"/>
    </row>
    <row r="966" spans="1:28" x14ac:dyDescent="0.25">
      <c r="A966" s="68" t="str">
        <f t="shared" si="45"/>
        <v>306365</v>
      </c>
      <c r="B966" s="10">
        <f t="shared" si="46"/>
        <v>17.243099999999998</v>
      </c>
      <c r="C966" s="77" t="s">
        <v>5557</v>
      </c>
      <c r="D966" s="191" t="str">
        <f t="shared" si="47"/>
        <v>V-StrongLumio koncovky k liště Groove 10 bílá kulatá (pár) (516781)</v>
      </c>
      <c r="E966" s="77" t="s">
        <v>3870</v>
      </c>
      <c r="F966" s="77" t="s">
        <v>3871</v>
      </c>
      <c r="G966" s="77" t="s">
        <v>3873</v>
      </c>
      <c r="H966" s="77" t="s">
        <v>3872</v>
      </c>
      <c r="I966" s="77" t="s">
        <v>1463</v>
      </c>
      <c r="J966" s="90">
        <v>100</v>
      </c>
      <c r="K966" s="91">
        <v>1</v>
      </c>
      <c r="L966" s="77" t="s">
        <v>6566</v>
      </c>
      <c r="M966" s="78">
        <v>17.243099999999998</v>
      </c>
      <c r="N966" s="79">
        <v>0.67972999999999995</v>
      </c>
      <c r="O966" s="79">
        <v>1.7056199999999999</v>
      </c>
      <c r="P966" s="79">
        <v>244.37501</v>
      </c>
      <c r="Q966" s="77"/>
      <c r="R966" s="77"/>
      <c r="S966" s="77"/>
      <c r="T966" s="77"/>
      <c r="U966" s="77"/>
      <c r="V966" s="87"/>
      <c r="W966" s="87"/>
      <c r="X966" s="87"/>
      <c r="Y966" s="77"/>
      <c r="Z966" s="88"/>
      <c r="AA966" s="35"/>
      <c r="AB966" s="35"/>
    </row>
    <row r="967" spans="1:28" x14ac:dyDescent="0.25">
      <c r="A967" s="68" t="str">
        <f t="shared" si="45"/>
        <v>528044</v>
      </c>
      <c r="B967" s="10">
        <f t="shared" si="46"/>
        <v>16.735949999999999</v>
      </c>
      <c r="C967" s="77" t="s">
        <v>5558</v>
      </c>
      <c r="D967" s="191" t="str">
        <f t="shared" si="47"/>
        <v>V-StrongLumio koncovky k liště Groove 10 rovná šedá (pár) (472101)</v>
      </c>
      <c r="E967" s="77" t="s">
        <v>3874</v>
      </c>
      <c r="F967" s="77" t="s">
        <v>3875</v>
      </c>
      <c r="G967" s="77" t="s">
        <v>3877</v>
      </c>
      <c r="H967" s="77" t="s">
        <v>3876</v>
      </c>
      <c r="I967" s="77" t="s">
        <v>1463</v>
      </c>
      <c r="J967" s="90">
        <v>10</v>
      </c>
      <c r="K967" s="91">
        <v>1</v>
      </c>
      <c r="L967" s="77" t="s">
        <v>6566</v>
      </c>
      <c r="M967" s="78">
        <v>16.735949999999999</v>
      </c>
      <c r="N967" s="79">
        <v>0.65973999999999999</v>
      </c>
      <c r="O967" s="79">
        <v>1.7833000000000001</v>
      </c>
      <c r="P967" s="79">
        <v>237.1875</v>
      </c>
      <c r="Q967" s="77"/>
      <c r="R967" s="77"/>
      <c r="S967" s="77"/>
      <c r="T967" s="77"/>
      <c r="U967" s="77"/>
      <c r="V967" s="87"/>
      <c r="W967" s="87"/>
      <c r="X967" s="87"/>
      <c r="Y967" s="77"/>
      <c r="Z967" s="88"/>
      <c r="AA967" s="35"/>
      <c r="AB967" s="35"/>
    </row>
    <row r="968" spans="1:28" x14ac:dyDescent="0.25">
      <c r="A968" s="68" t="str">
        <f t="shared" si="45"/>
        <v>208146</v>
      </c>
      <c r="B968" s="10">
        <f t="shared" si="46"/>
        <v>17.243099999999998</v>
      </c>
      <c r="C968" s="77" t="s">
        <v>5559</v>
      </c>
      <c r="D968" s="191" t="str">
        <f t="shared" si="47"/>
        <v>V-StrongLumio koncovky k liště Groove 10 šedá kulatá (pár) (516779)</v>
      </c>
      <c r="E968" s="77" t="s">
        <v>3878</v>
      </c>
      <c r="F968" s="77" t="s">
        <v>3879</v>
      </c>
      <c r="G968" s="77" t="s">
        <v>3881</v>
      </c>
      <c r="H968" s="77" t="s">
        <v>3880</v>
      </c>
      <c r="I968" s="77" t="s">
        <v>1463</v>
      </c>
      <c r="J968" s="90">
        <v>100</v>
      </c>
      <c r="K968" s="91">
        <v>1</v>
      </c>
      <c r="L968" s="77" t="s">
        <v>6566</v>
      </c>
      <c r="M968" s="78">
        <v>17.243099999999998</v>
      </c>
      <c r="N968" s="79">
        <v>0.67972999999999995</v>
      </c>
      <c r="O968" s="79">
        <v>1.8076399999999999</v>
      </c>
      <c r="P968" s="79">
        <v>244.37501</v>
      </c>
      <c r="Q968" s="77"/>
      <c r="R968" s="77"/>
      <c r="S968" s="77"/>
      <c r="T968" s="77"/>
      <c r="U968" s="77"/>
      <c r="V968" s="87"/>
      <c r="W968" s="87"/>
      <c r="X968" s="87"/>
      <c r="Y968" s="77"/>
      <c r="Z968" s="88"/>
      <c r="AA968" s="35"/>
      <c r="AB968" s="35"/>
    </row>
    <row r="969" spans="1:28" x14ac:dyDescent="0.25">
      <c r="A969" s="68" t="str">
        <f t="shared" si="45"/>
        <v>336098</v>
      </c>
      <c r="B969" s="10">
        <f t="shared" si="46"/>
        <v>17.243099999999998</v>
      </c>
      <c r="C969" s="77" t="s">
        <v>5560</v>
      </c>
      <c r="D969" s="191" t="str">
        <f t="shared" si="47"/>
        <v>V-StrongLumio koncovky k liště Slim bílá (pár) (285032)</v>
      </c>
      <c r="E969" s="77" t="s">
        <v>3882</v>
      </c>
      <c r="F969" s="77" t="s">
        <v>3883</v>
      </c>
      <c r="G969" s="77" t="s">
        <v>3885</v>
      </c>
      <c r="H969" s="77" t="s">
        <v>3884</v>
      </c>
      <c r="I969" s="77" t="s">
        <v>1463</v>
      </c>
      <c r="J969" s="90">
        <v>10</v>
      </c>
      <c r="K969" s="91">
        <v>1</v>
      </c>
      <c r="L969" s="77" t="s">
        <v>6566</v>
      </c>
      <c r="M969" s="78">
        <v>17.243099999999998</v>
      </c>
      <c r="N969" s="79">
        <v>0.67972999999999995</v>
      </c>
      <c r="O969" s="79">
        <v>1.8143</v>
      </c>
      <c r="P969" s="79">
        <v>244.37501</v>
      </c>
      <c r="Q969" s="77"/>
      <c r="R969" s="77"/>
      <c r="S969" s="77"/>
      <c r="T969" s="77"/>
      <c r="U969" s="77"/>
      <c r="V969" s="87"/>
      <c r="W969" s="87"/>
      <c r="X969" s="87"/>
      <c r="Y969" s="77"/>
      <c r="Z969" s="88"/>
      <c r="AA969" s="35"/>
      <c r="AB969" s="35"/>
    </row>
    <row r="970" spans="1:28" x14ac:dyDescent="0.25">
      <c r="A970" s="68" t="str">
        <f t="shared" si="45"/>
        <v>385088</v>
      </c>
      <c r="B970" s="10">
        <f t="shared" si="46"/>
        <v>17.243099999999998</v>
      </c>
      <c r="C970" s="77" t="s">
        <v>5561</v>
      </c>
      <c r="D970" s="191" t="str">
        <f t="shared" si="47"/>
        <v>V-StrongLumio koncovky k liště Slim černá (pár)</v>
      </c>
      <c r="E970" s="77" t="s">
        <v>3886</v>
      </c>
      <c r="F970" s="77" t="s">
        <v>3887</v>
      </c>
      <c r="G970" s="77" t="s">
        <v>3889</v>
      </c>
      <c r="H970" s="77" t="s">
        <v>3888</v>
      </c>
      <c r="I970" s="77" t="s">
        <v>1463</v>
      </c>
      <c r="J970" s="90">
        <v>10</v>
      </c>
      <c r="K970" s="91">
        <v>1</v>
      </c>
      <c r="L970" s="77" t="s">
        <v>6566</v>
      </c>
      <c r="M970" s="78">
        <v>17.243099999999998</v>
      </c>
      <c r="N970" s="79">
        <v>0.67972999999999995</v>
      </c>
      <c r="O970" s="79">
        <v>1.8143</v>
      </c>
      <c r="P970" s="79">
        <v>244.37501</v>
      </c>
      <c r="Q970" s="77"/>
      <c r="R970" s="77"/>
      <c r="S970" s="77"/>
      <c r="T970" s="77"/>
      <c r="U970" s="77"/>
      <c r="V970" s="87"/>
      <c r="W970" s="87"/>
      <c r="X970" s="87"/>
      <c r="Y970" s="77"/>
      <c r="Z970" s="88"/>
      <c r="AA970" s="35"/>
      <c r="AB970" s="35"/>
    </row>
    <row r="971" spans="1:28" x14ac:dyDescent="0.25">
      <c r="A971" s="68" t="str">
        <f t="shared" si="45"/>
        <v>306367</v>
      </c>
      <c r="B971" s="10">
        <f t="shared" si="46"/>
        <v>16.735949999999999</v>
      </c>
      <c r="C971" s="77" t="s">
        <v>5562</v>
      </c>
      <c r="D971" s="191" t="str">
        <f t="shared" si="47"/>
        <v>V-StrongLumio koncovky k liště Surface 10 bílá (pár) (516778)</v>
      </c>
      <c r="E971" s="77" t="s">
        <v>3890</v>
      </c>
      <c r="F971" s="77" t="s">
        <v>3891</v>
      </c>
      <c r="G971" s="77" t="s">
        <v>3893</v>
      </c>
      <c r="H971" s="77" t="s">
        <v>3892</v>
      </c>
      <c r="I971" s="77" t="s">
        <v>1463</v>
      </c>
      <c r="J971" s="90">
        <v>100</v>
      </c>
      <c r="K971" s="91">
        <v>1</v>
      </c>
      <c r="L971" s="77" t="s">
        <v>6566</v>
      </c>
      <c r="M971" s="78">
        <v>16.735949999999999</v>
      </c>
      <c r="N971" s="79">
        <v>0.65973999999999999</v>
      </c>
      <c r="O971" s="79">
        <v>1.82314</v>
      </c>
      <c r="P971" s="79">
        <v>237.1875</v>
      </c>
      <c r="Q971" s="77"/>
      <c r="R971" s="77"/>
      <c r="S971" s="77"/>
      <c r="T971" s="77"/>
      <c r="U971" s="77"/>
      <c r="V971" s="87"/>
      <c r="W971" s="87"/>
      <c r="X971" s="87"/>
      <c r="Y971" s="77"/>
      <c r="Z971" s="88"/>
      <c r="AA971" s="35"/>
      <c r="AB971" s="35"/>
    </row>
    <row r="972" spans="1:28" x14ac:dyDescent="0.25">
      <c r="A972" s="68" t="str">
        <f t="shared" si="45"/>
        <v>208147</v>
      </c>
      <c r="B972" s="10">
        <f t="shared" si="46"/>
        <v>16.735949999999999</v>
      </c>
      <c r="C972" s="77" t="s">
        <v>5563</v>
      </c>
      <c r="D972" s="191" t="str">
        <f t="shared" si="47"/>
        <v>V-StrongLumio koncovky k liště Surface 10 šedá (pár) (516767)</v>
      </c>
      <c r="E972" s="77" t="s">
        <v>3894</v>
      </c>
      <c r="F972" s="77" t="s">
        <v>3895</v>
      </c>
      <c r="G972" s="77" t="s">
        <v>3897</v>
      </c>
      <c r="H972" s="77" t="s">
        <v>3896</v>
      </c>
      <c r="I972" s="77" t="s">
        <v>1463</v>
      </c>
      <c r="J972" s="90">
        <v>100</v>
      </c>
      <c r="K972" s="91">
        <v>1</v>
      </c>
      <c r="L972" s="77" t="s">
        <v>6566</v>
      </c>
      <c r="M972" s="78">
        <v>16.735949999999999</v>
      </c>
      <c r="N972" s="79">
        <v>0.65973999999999999</v>
      </c>
      <c r="O972" s="79">
        <v>1.7647600000000001</v>
      </c>
      <c r="P972" s="79">
        <v>237.1875</v>
      </c>
      <c r="Q972" s="77"/>
      <c r="R972" s="77"/>
      <c r="S972" s="77"/>
      <c r="T972" s="77"/>
      <c r="U972" s="77"/>
      <c r="V972" s="87"/>
      <c r="W972" s="87"/>
      <c r="X972" s="87"/>
      <c r="Y972" s="77"/>
      <c r="Z972" s="88"/>
      <c r="AA972" s="35"/>
      <c r="AB972" s="35"/>
    </row>
    <row r="973" spans="1:28" x14ac:dyDescent="0.25">
      <c r="A973" s="68" t="str">
        <f t="shared" si="45"/>
        <v>529723</v>
      </c>
      <c r="B973" s="10">
        <f t="shared" si="46"/>
        <v>17.243099999999998</v>
      </c>
      <c r="C973" s="77" t="s">
        <v>5564</v>
      </c>
      <c r="D973" s="191" t="str">
        <f t="shared" si="47"/>
        <v>V-StrongLumio koncovky k profilu Begton 12 oblá šedá (pár) (405277)</v>
      </c>
      <c r="E973" s="77" t="s">
        <v>3898</v>
      </c>
      <c r="F973" s="77" t="s">
        <v>3899</v>
      </c>
      <c r="G973" s="77" t="s">
        <v>3901</v>
      </c>
      <c r="H973" s="77" t="s">
        <v>3900</v>
      </c>
      <c r="I973" s="77" t="s">
        <v>1463</v>
      </c>
      <c r="J973" s="90">
        <v>10</v>
      </c>
      <c r="K973" s="91">
        <v>1</v>
      </c>
      <c r="L973" s="77" t="s">
        <v>6566</v>
      </c>
      <c r="M973" s="78">
        <v>17.243099999999998</v>
      </c>
      <c r="N973" s="79">
        <v>0.67972999999999995</v>
      </c>
      <c r="O973" s="79">
        <v>1.7832399999999999</v>
      </c>
      <c r="P973" s="79">
        <v>244.37501</v>
      </c>
      <c r="Q973" s="77"/>
      <c r="R973" s="77"/>
      <c r="S973" s="77"/>
      <c r="T973" s="77"/>
      <c r="U973" s="77"/>
      <c r="V973" s="87"/>
      <c r="W973" s="87"/>
      <c r="X973" s="87"/>
      <c r="Y973" s="77"/>
      <c r="Z973" s="88"/>
      <c r="AA973" s="35"/>
      <c r="AB973" s="35"/>
    </row>
    <row r="974" spans="1:28" x14ac:dyDescent="0.25">
      <c r="A974" s="68" t="str">
        <f t="shared" si="45"/>
        <v>557924</v>
      </c>
      <c r="B974" s="10">
        <f t="shared" si="46"/>
        <v>17.350200000000001</v>
      </c>
      <c r="C974" s="77" t="s">
        <v>6569</v>
      </c>
      <c r="D974" s="191" t="str">
        <f t="shared" si="47"/>
        <v>V-StrongLumio koncovky k profilu Begton 12 oblá, černá (pár) (405279)</v>
      </c>
      <c r="E974" s="77" t="s">
        <v>6570</v>
      </c>
      <c r="F974" s="77" t="s">
        <v>456</v>
      </c>
      <c r="G974" s="77" t="s">
        <v>457</v>
      </c>
      <c r="H974" s="77" t="s">
        <v>458</v>
      </c>
      <c r="I974" s="77" t="s">
        <v>1463</v>
      </c>
      <c r="J974" s="90">
        <v>10</v>
      </c>
      <c r="K974" s="91">
        <v>1</v>
      </c>
      <c r="L974" s="77" t="s">
        <v>6566</v>
      </c>
      <c r="M974" s="78">
        <v>17.350200000000001</v>
      </c>
      <c r="N974" s="79">
        <v>0.65688000000000002</v>
      </c>
      <c r="O974" s="79">
        <v>0</v>
      </c>
      <c r="P974" s="79">
        <v>0</v>
      </c>
      <c r="Q974" s="77"/>
      <c r="R974" s="77"/>
      <c r="S974" s="77"/>
      <c r="T974" s="77"/>
      <c r="U974" s="77"/>
      <c r="V974" s="87"/>
      <c r="W974" s="87"/>
      <c r="X974" s="87"/>
      <c r="Y974" s="77"/>
      <c r="Z974" s="88"/>
      <c r="AA974" s="35"/>
      <c r="AB974" s="35"/>
    </row>
    <row r="975" spans="1:28" x14ac:dyDescent="0.25">
      <c r="A975" s="68" t="str">
        <f t="shared" si="45"/>
        <v>553787</v>
      </c>
      <c r="B975" s="10">
        <f t="shared" si="46"/>
        <v>17.243079999999999</v>
      </c>
      <c r="C975" s="77" t="s">
        <v>5565</v>
      </c>
      <c r="D975" s="191" t="str">
        <f t="shared" si="47"/>
        <v>V-StrongLumio koncovky k profilu Cabi bílá (pár) (469095)</v>
      </c>
      <c r="E975" s="77" t="s">
        <v>3902</v>
      </c>
      <c r="F975" s="77" t="s">
        <v>3903</v>
      </c>
      <c r="G975" s="77" t="s">
        <v>3905</v>
      </c>
      <c r="H975" s="77" t="s">
        <v>3904</v>
      </c>
      <c r="I975" s="77" t="s">
        <v>1463</v>
      </c>
      <c r="J975" s="90">
        <v>10</v>
      </c>
      <c r="K975" s="91">
        <v>1</v>
      </c>
      <c r="L975" s="77" t="s">
        <v>6566</v>
      </c>
      <c r="M975" s="78">
        <v>17.243079999999999</v>
      </c>
      <c r="N975" s="79">
        <v>0.67972999999999995</v>
      </c>
      <c r="O975" s="79">
        <v>1.7056199999999999</v>
      </c>
      <c r="P975" s="79">
        <v>242.28971000000001</v>
      </c>
      <c r="Q975" s="77"/>
      <c r="R975" s="77"/>
      <c r="S975" s="77"/>
      <c r="T975" s="77"/>
      <c r="U975" s="77"/>
      <c r="V975" s="87"/>
      <c r="W975" s="87"/>
      <c r="X975" s="87"/>
      <c r="Y975" s="77"/>
      <c r="Z975" s="88"/>
      <c r="AA975" s="35"/>
      <c r="AB975" s="35"/>
    </row>
    <row r="976" spans="1:28" x14ac:dyDescent="0.25">
      <c r="A976" s="68" t="str">
        <f t="shared" si="45"/>
        <v>557844</v>
      </c>
      <c r="B976" s="10">
        <f t="shared" si="46"/>
        <v>17.350200000000001</v>
      </c>
      <c r="C976" s="77" t="s">
        <v>6273</v>
      </c>
      <c r="D976" s="191" t="str">
        <f t="shared" si="47"/>
        <v>V-StrongLumio koncovky k profilu Groove 10 rovná (pár) bílá (499423)</v>
      </c>
      <c r="E976" s="77" t="s">
        <v>6550</v>
      </c>
      <c r="F976" s="77" t="s">
        <v>487</v>
      </c>
      <c r="G976" s="77" t="s">
        <v>488</v>
      </c>
      <c r="H976" s="77" t="s">
        <v>489</v>
      </c>
      <c r="I976" s="77" t="s">
        <v>1463</v>
      </c>
      <c r="J976" s="90">
        <v>10</v>
      </c>
      <c r="K976" s="91">
        <v>1</v>
      </c>
      <c r="L976" s="77" t="s">
        <v>6566</v>
      </c>
      <c r="M976" s="78">
        <v>17.350200000000001</v>
      </c>
      <c r="N976" s="79">
        <v>0.65688000000000002</v>
      </c>
      <c r="O976" s="79">
        <v>0</v>
      </c>
      <c r="P976" s="79">
        <v>0</v>
      </c>
      <c r="Q976" s="77"/>
      <c r="R976" s="77"/>
      <c r="S976" s="77"/>
      <c r="T976" s="77"/>
      <c r="U976" s="77"/>
      <c r="V976" s="87"/>
      <c r="W976" s="87"/>
      <c r="X976" s="87"/>
      <c r="Y976" s="77"/>
      <c r="Z976" s="88"/>
      <c r="AA976" s="35"/>
      <c r="AB976" s="35"/>
    </row>
    <row r="977" spans="1:28" x14ac:dyDescent="0.25">
      <c r="A977" s="68" t="str">
        <f t="shared" si="45"/>
        <v>557843</v>
      </c>
      <c r="B977" s="10">
        <f t="shared" si="46"/>
        <v>17.350200000000001</v>
      </c>
      <c r="C977" s="77" t="s">
        <v>6271</v>
      </c>
      <c r="D977" s="191" t="str">
        <f t="shared" si="47"/>
        <v>V-StrongLumio koncovky k profilu Groove 10 rovná černá (pár) (471886)</v>
      </c>
      <c r="E977" s="77" t="s">
        <v>6272</v>
      </c>
      <c r="F977" s="77" t="s">
        <v>494</v>
      </c>
      <c r="G977" s="77" t="s">
        <v>495</v>
      </c>
      <c r="H977" s="77" t="s">
        <v>496</v>
      </c>
      <c r="I977" s="77" t="s">
        <v>1463</v>
      </c>
      <c r="J977" s="90">
        <v>10</v>
      </c>
      <c r="K977" s="91">
        <v>1</v>
      </c>
      <c r="L977" s="77" t="s">
        <v>6566</v>
      </c>
      <c r="M977" s="78">
        <v>17.350200000000001</v>
      </c>
      <c r="N977" s="79">
        <v>0.65688000000000002</v>
      </c>
      <c r="O977" s="79">
        <v>0</v>
      </c>
      <c r="P977" s="79">
        <v>0</v>
      </c>
      <c r="Q977" s="77"/>
      <c r="R977" s="77"/>
      <c r="S977" s="77"/>
      <c r="T977" s="77"/>
      <c r="U977" s="77"/>
      <c r="V977" s="87"/>
      <c r="W977" s="87"/>
      <c r="X977" s="87"/>
      <c r="Y977" s="77"/>
      <c r="Z977" s="88"/>
      <c r="AA977" s="35"/>
      <c r="AB977" s="35"/>
    </row>
    <row r="978" spans="1:28" x14ac:dyDescent="0.25">
      <c r="A978" s="68" t="str">
        <f t="shared" si="45"/>
        <v>221121</v>
      </c>
      <c r="B978" s="10">
        <f t="shared" si="46"/>
        <v>16.735949999999999</v>
      </c>
      <c r="C978" s="77" t="s">
        <v>5566</v>
      </c>
      <c r="D978" s="191" t="str">
        <f t="shared" si="47"/>
        <v>V-StrongLumio koncovky k profilu Slim šedá (pár) (215852)</v>
      </c>
      <c r="E978" s="77" t="s">
        <v>3906</v>
      </c>
      <c r="F978" s="77" t="s">
        <v>3907</v>
      </c>
      <c r="G978" s="77" t="s">
        <v>3909</v>
      </c>
      <c r="H978" s="77" t="s">
        <v>3908</v>
      </c>
      <c r="I978" s="77" t="s">
        <v>1463</v>
      </c>
      <c r="J978" s="90">
        <v>100</v>
      </c>
      <c r="K978" s="91">
        <v>1</v>
      </c>
      <c r="L978" s="77" t="s">
        <v>6566</v>
      </c>
      <c r="M978" s="78">
        <v>16.735949999999999</v>
      </c>
      <c r="N978" s="79">
        <v>0.65973999999999999</v>
      </c>
      <c r="O978" s="79">
        <v>1.8245899999999999</v>
      </c>
      <c r="P978" s="79">
        <v>237.1875</v>
      </c>
      <c r="Q978" s="77"/>
      <c r="R978" s="77"/>
      <c r="S978" s="77"/>
      <c r="T978" s="77"/>
      <c r="U978" s="77"/>
      <c r="V978" s="87"/>
      <c r="W978" s="87"/>
      <c r="X978" s="87"/>
      <c r="Y978" s="77"/>
      <c r="Z978" s="88"/>
      <c r="AA978" s="35"/>
      <c r="AB978" s="35"/>
    </row>
    <row r="979" spans="1:28" x14ac:dyDescent="0.25">
      <c r="A979" s="68" t="str">
        <f t="shared" si="45"/>
        <v>557865</v>
      </c>
      <c r="B979" s="10">
        <f t="shared" si="46"/>
        <v>17.816759999999999</v>
      </c>
      <c r="C979" s="77" t="s">
        <v>6298</v>
      </c>
      <c r="D979" s="191" t="str">
        <f t="shared" si="47"/>
        <v>V-StrongLumio kovový držák pro LED pásek neon 4x10 mm (406056)</v>
      </c>
      <c r="E979" s="77" t="s">
        <v>6299</v>
      </c>
      <c r="F979" s="77" t="s">
        <v>1643</v>
      </c>
      <c r="G979" s="77" t="s">
        <v>6440</v>
      </c>
      <c r="H979" s="77" t="s">
        <v>794</v>
      </c>
      <c r="I979" s="77" t="s">
        <v>795</v>
      </c>
      <c r="J979" s="90">
        <v>100</v>
      </c>
      <c r="K979" s="91">
        <v>1</v>
      </c>
      <c r="L979" s="77" t="s">
        <v>6566</v>
      </c>
      <c r="M979" s="78">
        <v>17.816759999999999</v>
      </c>
      <c r="N979" s="79">
        <v>0.44835999999999998</v>
      </c>
      <c r="O979" s="79">
        <v>0</v>
      </c>
      <c r="P979" s="79">
        <v>0</v>
      </c>
      <c r="Q979" s="77"/>
      <c r="R979" s="77"/>
      <c r="S979" s="77"/>
      <c r="T979" s="77"/>
      <c r="U979" s="77"/>
      <c r="V979" s="87"/>
      <c r="W979" s="87"/>
      <c r="X979" s="87"/>
      <c r="Y979" s="77"/>
      <c r="Z979" s="88"/>
      <c r="AA979" s="35"/>
      <c r="AB979" s="35"/>
    </row>
    <row r="980" spans="1:28" x14ac:dyDescent="0.25">
      <c r="A980" s="68" t="str">
        <f t="shared" si="45"/>
        <v>557868</v>
      </c>
      <c r="B980" s="10">
        <f t="shared" si="46"/>
        <v>17.816759999999999</v>
      </c>
      <c r="C980" s="77" t="s">
        <v>6300</v>
      </c>
      <c r="D980" s="191" t="str">
        <f t="shared" si="47"/>
        <v>V-StrongLumio kovový držák pro LED silikonový profil neon 8x16 mm (535091)</v>
      </c>
      <c r="E980" s="77" t="s">
        <v>6301</v>
      </c>
      <c r="F980" s="77" t="s">
        <v>1645</v>
      </c>
      <c r="G980" s="77" t="s">
        <v>1646</v>
      </c>
      <c r="H980" s="77" t="s">
        <v>794</v>
      </c>
      <c r="I980" s="77" t="s">
        <v>795</v>
      </c>
      <c r="J980" s="90">
        <v>100</v>
      </c>
      <c r="K980" s="91">
        <v>1</v>
      </c>
      <c r="L980" s="77" t="s">
        <v>6566</v>
      </c>
      <c r="M980" s="78">
        <v>17.816759999999999</v>
      </c>
      <c r="N980" s="79">
        <v>0.67252000000000001</v>
      </c>
      <c r="O980" s="79">
        <v>0</v>
      </c>
      <c r="P980" s="79">
        <v>0</v>
      </c>
      <c r="Q980" s="77"/>
      <c r="R980" s="77"/>
      <c r="S980" s="77"/>
      <c r="T980" s="77"/>
      <c r="U980" s="77"/>
      <c r="V980" s="87"/>
      <c r="W980" s="87"/>
      <c r="X980" s="87"/>
      <c r="Y980" s="77"/>
      <c r="Z980" s="88"/>
      <c r="AA980" s="35"/>
      <c r="AB980" s="35"/>
    </row>
    <row r="981" spans="1:28" x14ac:dyDescent="0.25">
      <c r="A981" s="68" t="str">
        <f t="shared" si="45"/>
        <v>557872</v>
      </c>
      <c r="B981" s="10">
        <f t="shared" si="46"/>
        <v>16.141680000000001</v>
      </c>
      <c r="C981" s="77" t="s">
        <v>6306</v>
      </c>
      <c r="D981" s="191" t="str">
        <f t="shared" si="47"/>
        <v>V-StrongLumio kovový držák pro neon 6x12, 30mm (546637)</v>
      </c>
      <c r="E981" s="77" t="s">
        <v>6307</v>
      </c>
      <c r="F981" s="77" t="s">
        <v>1648</v>
      </c>
      <c r="G981" s="77" t="s">
        <v>6441</v>
      </c>
      <c r="H981" s="77" t="s">
        <v>1649</v>
      </c>
      <c r="I981" s="77" t="s">
        <v>795</v>
      </c>
      <c r="J981" s="90">
        <v>100</v>
      </c>
      <c r="K981" s="91">
        <v>1</v>
      </c>
      <c r="L981" s="77" t="s">
        <v>6566</v>
      </c>
      <c r="M981" s="78">
        <v>16.141680000000001</v>
      </c>
      <c r="N981" s="79">
        <v>0.67252000000000001</v>
      </c>
      <c r="O981" s="79">
        <v>0</v>
      </c>
      <c r="P981" s="79">
        <v>0</v>
      </c>
      <c r="Q981" s="77"/>
      <c r="R981" s="77"/>
      <c r="S981" s="77"/>
      <c r="T981" s="77"/>
      <c r="U981" s="77"/>
      <c r="V981" s="87"/>
      <c r="W981" s="87"/>
      <c r="X981" s="87"/>
      <c r="Y981" s="77"/>
      <c r="Z981" s="88"/>
      <c r="AA981" s="35"/>
      <c r="AB981" s="35"/>
    </row>
    <row r="982" spans="1:28" x14ac:dyDescent="0.25">
      <c r="A982" s="68" t="str">
        <f t="shared" si="45"/>
        <v>308441</v>
      </c>
      <c r="B982" s="10">
        <f t="shared" si="46"/>
        <v>35.136000000000003</v>
      </c>
      <c r="C982" s="77" t="s">
        <v>5567</v>
      </c>
      <c r="D982" s="191" t="str">
        <f t="shared" si="47"/>
        <v>V-StrongLumio krycí lišta Begtin/Begton naklap./výsuvná mléčná 2000mm (285052)</v>
      </c>
      <c r="E982" s="77" t="s">
        <v>3910</v>
      </c>
      <c r="F982" s="77" t="s">
        <v>3911</v>
      </c>
      <c r="G982" s="77" t="s">
        <v>3913</v>
      </c>
      <c r="H982" s="77" t="s">
        <v>3912</v>
      </c>
      <c r="I982" s="77" t="s">
        <v>795</v>
      </c>
      <c r="J982" s="90">
        <v>100</v>
      </c>
      <c r="K982" s="91">
        <v>1</v>
      </c>
      <c r="L982" s="77" t="s">
        <v>6566</v>
      </c>
      <c r="M982" s="78">
        <v>35.136000000000003</v>
      </c>
      <c r="N982" s="79">
        <v>1.3910400000000001</v>
      </c>
      <c r="O982" s="79">
        <v>3.7139600000000002</v>
      </c>
      <c r="P982" s="79">
        <v>474.375</v>
      </c>
      <c r="Q982" s="77"/>
      <c r="R982" s="77"/>
      <c r="S982" s="77"/>
      <c r="T982" s="77"/>
      <c r="U982" s="77"/>
      <c r="V982" s="87"/>
      <c r="W982" s="87"/>
      <c r="X982" s="87"/>
      <c r="Y982" s="77"/>
      <c r="Z982" s="88"/>
      <c r="AA982" s="35"/>
      <c r="AB982" s="35"/>
    </row>
    <row r="983" spans="1:28" x14ac:dyDescent="0.25">
      <c r="A983" s="68" t="str">
        <f t="shared" si="45"/>
        <v>310731</v>
      </c>
      <c r="B983" s="10">
        <f t="shared" si="46"/>
        <v>28.303999999999998</v>
      </c>
      <c r="C983" s="77" t="s">
        <v>5568</v>
      </c>
      <c r="D983" s="191" t="str">
        <f t="shared" si="47"/>
        <v>V-StrongLumio krycí lišta Begtin/Begton naklap/výsuvná průsvitná 2000mm (285053)</v>
      </c>
      <c r="E983" s="77" t="s">
        <v>3914</v>
      </c>
      <c r="F983" s="77" t="s">
        <v>3915</v>
      </c>
      <c r="G983" s="77" t="s">
        <v>3917</v>
      </c>
      <c r="H983" s="77" t="s">
        <v>3916</v>
      </c>
      <c r="I983" s="77" t="s">
        <v>795</v>
      </c>
      <c r="J983" s="90">
        <v>100</v>
      </c>
      <c r="K983" s="91">
        <v>1</v>
      </c>
      <c r="L983" s="77" t="s">
        <v>6566</v>
      </c>
      <c r="M983" s="78">
        <v>28.303999999999998</v>
      </c>
      <c r="N983" s="79">
        <v>1.12056</v>
      </c>
      <c r="O983" s="79">
        <v>2.9449100000000001</v>
      </c>
      <c r="P983" s="79">
        <v>388.125</v>
      </c>
      <c r="Q983" s="77"/>
      <c r="R983" s="77"/>
      <c r="S983" s="77"/>
      <c r="T983" s="77"/>
      <c r="U983" s="77"/>
      <c r="V983" s="87"/>
      <c r="W983" s="87"/>
      <c r="X983" s="87"/>
      <c r="Y983" s="77"/>
      <c r="Z983" s="88"/>
      <c r="AA983" s="35"/>
      <c r="AB983" s="35"/>
    </row>
    <row r="984" spans="1:28" x14ac:dyDescent="0.25">
      <c r="A984" s="68" t="str">
        <f t="shared" si="45"/>
        <v>310732</v>
      </c>
      <c r="B984" s="10">
        <f t="shared" si="46"/>
        <v>50.752000000000002</v>
      </c>
      <c r="C984" s="77" t="s">
        <v>5569</v>
      </c>
      <c r="D984" s="191" t="str">
        <f t="shared" si="47"/>
        <v>V-StrongLumio krycí lišta Begtin/Begton naklap/výsuvná průsvitná 3000mm (285055)</v>
      </c>
      <c r="E984" s="77" t="s">
        <v>3918</v>
      </c>
      <c r="F984" s="77" t="s">
        <v>3919</v>
      </c>
      <c r="G984" s="77" t="s">
        <v>3921</v>
      </c>
      <c r="H984" s="77" t="s">
        <v>3920</v>
      </c>
      <c r="I984" s="77" t="s">
        <v>795</v>
      </c>
      <c r="J984" s="90">
        <v>100</v>
      </c>
      <c r="K984" s="91">
        <v>1</v>
      </c>
      <c r="L984" s="77" t="s">
        <v>6566</v>
      </c>
      <c r="M984" s="78">
        <v>50.752000000000002</v>
      </c>
      <c r="N984" s="79">
        <v>2.00928</v>
      </c>
      <c r="O984" s="79">
        <v>5.4398600000000004</v>
      </c>
      <c r="P984" s="79">
        <v>690</v>
      </c>
      <c r="Q984" s="77"/>
      <c r="R984" s="77"/>
      <c r="S984" s="77"/>
      <c r="T984" s="77"/>
      <c r="U984" s="77"/>
      <c r="V984" s="87"/>
      <c r="W984" s="87"/>
      <c r="X984" s="87"/>
      <c r="Y984" s="77"/>
      <c r="Z984" s="88"/>
      <c r="AA984" s="35"/>
      <c r="AB984" s="35"/>
    </row>
    <row r="985" spans="1:28" x14ac:dyDescent="0.25">
      <c r="A985" s="68" t="str">
        <f t="shared" si="45"/>
        <v>482669</v>
      </c>
      <c r="B985" s="10">
        <f t="shared" si="46"/>
        <v>68.319999999999993</v>
      </c>
      <c r="C985" s="77" t="s">
        <v>5570</v>
      </c>
      <c r="D985" s="191" t="str">
        <f t="shared" si="47"/>
        <v>V-StrongLumio krycí lišta C k LED profilům naklapávací černá 1000mm (416702)</v>
      </c>
      <c r="E985" s="77" t="s">
        <v>3922</v>
      </c>
      <c r="F985" s="77" t="s">
        <v>3923</v>
      </c>
      <c r="G985" s="77" t="s">
        <v>3925</v>
      </c>
      <c r="H985" s="77" t="s">
        <v>3924</v>
      </c>
      <c r="I985" s="77" t="s">
        <v>795</v>
      </c>
      <c r="J985" s="90">
        <v>100</v>
      </c>
      <c r="K985" s="91">
        <v>1</v>
      </c>
      <c r="L985" s="77" t="s">
        <v>6566</v>
      </c>
      <c r="M985" s="78">
        <v>68.319999999999993</v>
      </c>
      <c r="N985" s="79">
        <v>2.7048000000000001</v>
      </c>
      <c r="O985" s="79">
        <v>6.5351800000000004</v>
      </c>
      <c r="P985" s="79">
        <v>963.12499000000003</v>
      </c>
      <c r="Q985" s="77"/>
      <c r="R985" s="77"/>
      <c r="S985" s="77"/>
      <c r="T985" s="77"/>
      <c r="U985" s="77"/>
      <c r="V985" s="87"/>
      <c r="W985" s="87"/>
      <c r="X985" s="87"/>
      <c r="Y985" s="77"/>
      <c r="Z985" s="88"/>
      <c r="AA985" s="35"/>
      <c r="AB985" s="35"/>
    </row>
    <row r="986" spans="1:28" x14ac:dyDescent="0.25">
      <c r="A986" s="68" t="str">
        <f t="shared" si="45"/>
        <v>464120</v>
      </c>
      <c r="B986" s="10">
        <f t="shared" si="46"/>
        <v>138.59200000000001</v>
      </c>
      <c r="C986" s="77" t="s">
        <v>5571</v>
      </c>
      <c r="D986" s="191" t="str">
        <f t="shared" si="47"/>
        <v>V-StrongLumio krycí lišta C k LED profilům naklapávací černá 2000mm (416707)</v>
      </c>
      <c r="E986" s="77" t="s">
        <v>3926</v>
      </c>
      <c r="F986" s="77" t="s">
        <v>3927</v>
      </c>
      <c r="G986" s="77" t="s">
        <v>3929</v>
      </c>
      <c r="H986" s="77" t="s">
        <v>3928</v>
      </c>
      <c r="I986" s="77" t="s">
        <v>795</v>
      </c>
      <c r="J986" s="90">
        <v>100</v>
      </c>
      <c r="K986" s="91">
        <v>1</v>
      </c>
      <c r="L986" s="77" t="s">
        <v>6566</v>
      </c>
      <c r="M986" s="78">
        <v>138.59200000000001</v>
      </c>
      <c r="N986" s="79">
        <v>5.4868800000000002</v>
      </c>
      <c r="O986" s="79">
        <v>14.28937</v>
      </c>
      <c r="P986" s="79">
        <v>1897.5</v>
      </c>
      <c r="Q986" s="77"/>
      <c r="R986" s="77"/>
      <c r="S986" s="77"/>
      <c r="T986" s="77"/>
      <c r="U986" s="77"/>
      <c r="V986" s="87"/>
      <c r="W986" s="87"/>
      <c r="X986" s="87"/>
      <c r="Y986" s="77"/>
      <c r="Z986" s="88"/>
      <c r="AA986" s="35"/>
      <c r="AB986" s="35"/>
    </row>
    <row r="987" spans="1:28" x14ac:dyDescent="0.25">
      <c r="A987" s="68" t="str">
        <f t="shared" si="45"/>
        <v>464121</v>
      </c>
      <c r="B987" s="10">
        <f t="shared" si="46"/>
        <v>206.91200000000001</v>
      </c>
      <c r="C987" s="77" t="s">
        <v>5572</v>
      </c>
      <c r="D987" s="191" t="str">
        <f t="shared" si="47"/>
        <v>V-StrongLumio krycí lišta C k LED profilům naklapávací černá 3000mm (416709)</v>
      </c>
      <c r="E987" s="77" t="s">
        <v>3930</v>
      </c>
      <c r="F987" s="77" t="s">
        <v>3931</v>
      </c>
      <c r="G987" s="77" t="s">
        <v>3933</v>
      </c>
      <c r="H987" s="77" t="s">
        <v>3932</v>
      </c>
      <c r="I987" s="77" t="s">
        <v>795</v>
      </c>
      <c r="J987" s="90">
        <v>50</v>
      </c>
      <c r="K987" s="91">
        <v>1</v>
      </c>
      <c r="L987" s="77" t="s">
        <v>6566</v>
      </c>
      <c r="M987" s="78">
        <v>206.91200000000001</v>
      </c>
      <c r="N987" s="79">
        <v>8.1916799999999999</v>
      </c>
      <c r="O987" s="79">
        <v>21.253409999999999</v>
      </c>
      <c r="P987" s="79">
        <v>2817.4999899999998</v>
      </c>
      <c r="Q987" s="77"/>
      <c r="R987" s="77"/>
      <c r="S987" s="77"/>
      <c r="T987" s="77"/>
      <c r="U987" s="77"/>
      <c r="V987" s="87"/>
      <c r="W987" s="87"/>
      <c r="X987" s="87"/>
      <c r="Y987" s="77"/>
      <c r="Z987" s="88"/>
      <c r="AA987" s="35"/>
      <c r="AB987" s="35"/>
    </row>
    <row r="988" spans="1:28" x14ac:dyDescent="0.25">
      <c r="A988" s="68" t="str">
        <f t="shared" ref="A988:A1051" si="48">C988</f>
        <v>464122</v>
      </c>
      <c r="B988" s="10">
        <f t="shared" si="46"/>
        <v>265.47199999999998</v>
      </c>
      <c r="C988" s="77" t="s">
        <v>5573</v>
      </c>
      <c r="D988" s="191" t="str">
        <f t="shared" si="47"/>
        <v>V-StrongLumio krycí lišta C k LED profilům naklapávací černá 4100mm (416710)</v>
      </c>
      <c r="E988" s="77" t="s">
        <v>3934</v>
      </c>
      <c r="F988" s="77" t="s">
        <v>3935</v>
      </c>
      <c r="G988" s="77" t="s">
        <v>3937</v>
      </c>
      <c r="H988" s="77" t="s">
        <v>3936</v>
      </c>
      <c r="I988" s="77" t="s">
        <v>795</v>
      </c>
      <c r="J988" s="90">
        <v>50</v>
      </c>
      <c r="K988" s="91">
        <v>1</v>
      </c>
      <c r="L988" s="77" t="s">
        <v>6566</v>
      </c>
      <c r="M988" s="78">
        <v>265.47199999999998</v>
      </c>
      <c r="N988" s="79">
        <v>10.51008</v>
      </c>
      <c r="O988" s="79">
        <v>28.045310000000001</v>
      </c>
      <c r="P988" s="79">
        <v>3622.5</v>
      </c>
      <c r="Q988" s="77"/>
      <c r="R988" s="77"/>
      <c r="S988" s="77"/>
      <c r="T988" s="77"/>
      <c r="U988" s="77"/>
      <c r="V988" s="87"/>
      <c r="W988" s="87"/>
      <c r="X988" s="87"/>
      <c r="Y988" s="77"/>
      <c r="Z988" s="88"/>
      <c r="AA988" s="35"/>
      <c r="AB988" s="35"/>
    </row>
    <row r="989" spans="1:28" x14ac:dyDescent="0.25">
      <c r="A989" s="68" t="str">
        <f t="shared" si="48"/>
        <v>221123</v>
      </c>
      <c r="B989" s="10">
        <f t="shared" si="46"/>
        <v>59.536000000000001</v>
      </c>
      <c r="C989" s="77" t="s">
        <v>5574</v>
      </c>
      <c r="D989" s="191" t="str">
        <f t="shared" si="47"/>
        <v>V-StrongLumio krycí lišta C k LED profilům naklapávací mléčná 1000mm (221007)</v>
      </c>
      <c r="E989" s="77" t="s">
        <v>3938</v>
      </c>
      <c r="F989" s="77" t="s">
        <v>3939</v>
      </c>
      <c r="G989" s="77" t="s">
        <v>3941</v>
      </c>
      <c r="H989" s="77" t="s">
        <v>3940</v>
      </c>
      <c r="I989" s="77" t="s">
        <v>795</v>
      </c>
      <c r="J989" s="90">
        <v>100</v>
      </c>
      <c r="K989" s="91">
        <v>0.5</v>
      </c>
      <c r="L989" s="77" t="s">
        <v>6566</v>
      </c>
      <c r="M989" s="78">
        <v>59.536000000000001</v>
      </c>
      <c r="N989" s="79">
        <v>2.35704</v>
      </c>
      <c r="O989" s="79">
        <v>5.6437499999999998</v>
      </c>
      <c r="P989" s="79">
        <v>805.00000999999997</v>
      </c>
      <c r="Q989" s="77"/>
      <c r="R989" s="77"/>
      <c r="S989" s="77"/>
      <c r="T989" s="77"/>
      <c r="U989" s="77"/>
      <c r="V989" s="87"/>
      <c r="W989" s="87"/>
      <c r="X989" s="87"/>
      <c r="Y989" s="77"/>
      <c r="Z989" s="88"/>
      <c r="AA989" s="35"/>
      <c r="AB989" s="35"/>
    </row>
    <row r="990" spans="1:28" x14ac:dyDescent="0.25">
      <c r="A990" s="68" t="str">
        <f t="shared" si="48"/>
        <v>221124</v>
      </c>
      <c r="B990" s="10">
        <f t="shared" ref="B990:B1053" si="49">IF($B$1=1,M990,IF($B$1=2,N990,IF($B$1=3,O990,IF($B$1=4,P990))))</f>
        <v>111.264</v>
      </c>
      <c r="C990" s="77" t="s">
        <v>5575</v>
      </c>
      <c r="D990" s="191" t="str">
        <f t="shared" si="47"/>
        <v>V-StrongLumio krycí lišta C k LED profilům naklapávací mléčná 2000mm (221008)</v>
      </c>
      <c r="E990" s="77" t="s">
        <v>3942</v>
      </c>
      <c r="F990" s="77" t="s">
        <v>3943</v>
      </c>
      <c r="G990" s="77" t="s">
        <v>3945</v>
      </c>
      <c r="H990" s="77" t="s">
        <v>3944</v>
      </c>
      <c r="I990" s="77" t="s">
        <v>795</v>
      </c>
      <c r="J990" s="90">
        <v>100</v>
      </c>
      <c r="K990" s="91">
        <v>1</v>
      </c>
      <c r="L990" s="77" t="s">
        <v>6566</v>
      </c>
      <c r="M990" s="78">
        <v>111.264</v>
      </c>
      <c r="N990" s="79">
        <v>4.40496</v>
      </c>
      <c r="O990" s="79">
        <v>11.2875</v>
      </c>
      <c r="P990" s="79">
        <v>1523.74999</v>
      </c>
      <c r="Q990" s="77"/>
      <c r="R990" s="77"/>
      <c r="S990" s="77"/>
      <c r="T990" s="77"/>
      <c r="U990" s="77"/>
      <c r="V990" s="87"/>
      <c r="W990" s="87"/>
      <c r="X990" s="87"/>
      <c r="Y990" s="77"/>
      <c r="Z990" s="88"/>
      <c r="AA990" s="35"/>
      <c r="AB990" s="35"/>
    </row>
    <row r="991" spans="1:28" x14ac:dyDescent="0.25">
      <c r="A991" s="68" t="str">
        <f t="shared" si="48"/>
        <v>245929</v>
      </c>
      <c r="B991" s="10">
        <f t="shared" si="49"/>
        <v>171.77600000000001</v>
      </c>
      <c r="C991" s="77" t="s">
        <v>5576</v>
      </c>
      <c r="D991" s="191" t="str">
        <f t="shared" si="47"/>
        <v>V-StrongLumio krycí lišta C k LED profilům naklapávací mléčná 3000mm (233554)</v>
      </c>
      <c r="E991" s="77" t="s">
        <v>3946</v>
      </c>
      <c r="F991" s="77" t="s">
        <v>3947</v>
      </c>
      <c r="G991" s="77" t="s">
        <v>3949</v>
      </c>
      <c r="H991" s="77" t="s">
        <v>3948</v>
      </c>
      <c r="I991" s="77" t="s">
        <v>795</v>
      </c>
      <c r="J991" s="90">
        <v>100</v>
      </c>
      <c r="K991" s="91">
        <v>0.5</v>
      </c>
      <c r="L991" s="77" t="s">
        <v>6566</v>
      </c>
      <c r="M991" s="78">
        <v>171.77600000000001</v>
      </c>
      <c r="N991" s="79">
        <v>6.8006399999999996</v>
      </c>
      <c r="O991" s="79">
        <v>17.003430000000002</v>
      </c>
      <c r="P991" s="79">
        <v>2343.1249899999998</v>
      </c>
      <c r="Q991" s="77"/>
      <c r="R991" s="77"/>
      <c r="S991" s="77"/>
      <c r="T991" s="77"/>
      <c r="U991" s="77"/>
      <c r="V991" s="87"/>
      <c r="W991" s="87"/>
      <c r="X991" s="87"/>
      <c r="Y991" s="77"/>
      <c r="Z991" s="88"/>
      <c r="AA991" s="35"/>
      <c r="AB991" s="35"/>
    </row>
    <row r="992" spans="1:28" x14ac:dyDescent="0.25">
      <c r="A992" s="68" t="str">
        <f t="shared" si="48"/>
        <v>306353</v>
      </c>
      <c r="B992" s="10">
        <f t="shared" si="49"/>
        <v>224.48</v>
      </c>
      <c r="C992" s="77" t="s">
        <v>5577</v>
      </c>
      <c r="D992" s="191" t="str">
        <f t="shared" si="47"/>
        <v>V-StrongLumio krycí lišta C k LED profilům naklapávací mléčná 4100mm (269801)</v>
      </c>
      <c r="E992" s="77" t="s">
        <v>3950</v>
      </c>
      <c r="F992" s="77" t="s">
        <v>3951</v>
      </c>
      <c r="G992" s="77" t="s">
        <v>3953</v>
      </c>
      <c r="H992" s="77" t="s">
        <v>3952</v>
      </c>
      <c r="I992" s="77" t="s">
        <v>795</v>
      </c>
      <c r="J992" s="90">
        <v>100</v>
      </c>
      <c r="K992" s="91">
        <v>0.5</v>
      </c>
      <c r="L992" s="77" t="s">
        <v>6566</v>
      </c>
      <c r="M992" s="78">
        <v>224.48</v>
      </c>
      <c r="N992" s="79">
        <v>8.8872</v>
      </c>
      <c r="O992" s="79">
        <v>22.843129999999999</v>
      </c>
      <c r="P992" s="79">
        <v>3061.875</v>
      </c>
      <c r="Q992" s="77"/>
      <c r="R992" s="77"/>
      <c r="S992" s="77"/>
      <c r="T992" s="77"/>
      <c r="U992" s="77"/>
      <c r="V992" s="87"/>
      <c r="W992" s="87"/>
      <c r="X992" s="87"/>
      <c r="Y992" s="77"/>
      <c r="Z992" s="88"/>
      <c r="AA992" s="35"/>
      <c r="AB992" s="35"/>
    </row>
    <row r="993" spans="1:28" x14ac:dyDescent="0.25">
      <c r="A993" s="68" t="str">
        <f t="shared" si="48"/>
        <v>208157</v>
      </c>
      <c r="B993" s="10">
        <f t="shared" si="49"/>
        <v>59.536000000000001</v>
      </c>
      <c r="C993" s="77" t="s">
        <v>5578</v>
      </c>
      <c r="D993" s="191" t="str">
        <f t="shared" si="47"/>
        <v>V-StrongLumio krycí lišta C k LED profilům naklapávací průsvitná 1000mm (198516)</v>
      </c>
      <c r="E993" s="77" t="s">
        <v>3954</v>
      </c>
      <c r="F993" s="77" t="s">
        <v>3955</v>
      </c>
      <c r="G993" s="77" t="s">
        <v>3957</v>
      </c>
      <c r="H993" s="77" t="s">
        <v>3956</v>
      </c>
      <c r="I993" s="77" t="s">
        <v>795</v>
      </c>
      <c r="J993" s="90">
        <v>100</v>
      </c>
      <c r="K993" s="91">
        <v>1</v>
      </c>
      <c r="L993" s="77" t="s">
        <v>6566</v>
      </c>
      <c r="M993" s="78">
        <v>59.536000000000001</v>
      </c>
      <c r="N993" s="79">
        <v>2.35704</v>
      </c>
      <c r="O993" s="79">
        <v>5.5694100000000004</v>
      </c>
      <c r="P993" s="79">
        <v>805.00000999999997</v>
      </c>
      <c r="Q993" s="77"/>
      <c r="R993" s="77"/>
      <c r="S993" s="77"/>
      <c r="T993" s="77"/>
      <c r="U993" s="77"/>
      <c r="V993" s="87"/>
      <c r="W993" s="87"/>
      <c r="X993" s="87"/>
      <c r="Y993" s="77"/>
      <c r="Z993" s="88"/>
      <c r="AA993" s="35"/>
      <c r="AB993" s="35"/>
    </row>
    <row r="994" spans="1:28" x14ac:dyDescent="0.25">
      <c r="A994" s="68" t="str">
        <f t="shared" si="48"/>
        <v>208158</v>
      </c>
      <c r="B994" s="10">
        <f t="shared" si="49"/>
        <v>110.288</v>
      </c>
      <c r="C994" s="77" t="s">
        <v>5579</v>
      </c>
      <c r="D994" s="191" t="str">
        <f t="shared" si="47"/>
        <v>V-StrongLumio krycí lišta C k LED profilům naklapávací průsvitná 2000mm (198517)</v>
      </c>
      <c r="E994" s="77" t="s">
        <v>3958</v>
      </c>
      <c r="F994" s="77" t="s">
        <v>3955</v>
      </c>
      <c r="G994" s="77" t="s">
        <v>3960</v>
      </c>
      <c r="H994" s="77" t="s">
        <v>3959</v>
      </c>
      <c r="I994" s="77" t="s">
        <v>795</v>
      </c>
      <c r="J994" s="90">
        <v>20</v>
      </c>
      <c r="K994" s="91">
        <v>1</v>
      </c>
      <c r="L994" s="77" t="s">
        <v>6566</v>
      </c>
      <c r="M994" s="78">
        <v>110.288</v>
      </c>
      <c r="N994" s="79">
        <v>4.36632</v>
      </c>
      <c r="O994" s="79">
        <v>11.0922</v>
      </c>
      <c r="P994" s="79">
        <v>1509.375</v>
      </c>
      <c r="Q994" s="77"/>
      <c r="R994" s="77"/>
      <c r="S994" s="77"/>
      <c r="T994" s="77"/>
      <c r="U994" s="77"/>
      <c r="V994" s="87"/>
      <c r="W994" s="87"/>
      <c r="X994" s="87"/>
      <c r="Y994" s="77"/>
      <c r="Z994" s="88"/>
      <c r="AA994" s="35"/>
      <c r="AB994" s="35"/>
    </row>
    <row r="995" spans="1:28" x14ac:dyDescent="0.25">
      <c r="A995" s="68" t="str">
        <f t="shared" si="48"/>
        <v>245930</v>
      </c>
      <c r="B995" s="10">
        <f t="shared" si="49"/>
        <v>167.87200000000001</v>
      </c>
      <c r="C995" s="77" t="s">
        <v>5580</v>
      </c>
      <c r="D995" s="191" t="str">
        <f t="shared" si="47"/>
        <v>V-StrongLumio krycí lišta C k LED profilům naklapávací průsvitná 3000mm (244352)</v>
      </c>
      <c r="E995" s="77" t="s">
        <v>3961</v>
      </c>
      <c r="F995" s="77" t="s">
        <v>3962</v>
      </c>
      <c r="G995" s="77" t="s">
        <v>3964</v>
      </c>
      <c r="H995" s="77" t="s">
        <v>3963</v>
      </c>
      <c r="I995" s="77" t="s">
        <v>795</v>
      </c>
      <c r="J995" s="90">
        <v>100</v>
      </c>
      <c r="K995" s="91">
        <v>0.5</v>
      </c>
      <c r="L995" s="77" t="s">
        <v>6566</v>
      </c>
      <c r="M995" s="78">
        <v>167.87200000000001</v>
      </c>
      <c r="N995" s="79">
        <v>6.6460800000000004</v>
      </c>
      <c r="O995" s="79">
        <v>17.047280000000001</v>
      </c>
      <c r="P995" s="79">
        <v>2299.9999899999998</v>
      </c>
      <c r="Q995" s="77"/>
      <c r="R995" s="77"/>
      <c r="S995" s="77"/>
      <c r="T995" s="77"/>
      <c r="U995" s="77"/>
      <c r="V995" s="87"/>
      <c r="W995" s="87"/>
      <c r="X995" s="87"/>
      <c r="Y995" s="77"/>
      <c r="Z995" s="88"/>
      <c r="AA995" s="35"/>
      <c r="AB995" s="35"/>
    </row>
    <row r="996" spans="1:28" x14ac:dyDescent="0.25">
      <c r="A996" s="68" t="str">
        <f t="shared" si="48"/>
        <v>306362</v>
      </c>
      <c r="B996" s="10">
        <f t="shared" si="49"/>
        <v>223.50399999999999</v>
      </c>
      <c r="C996" s="77" t="s">
        <v>5581</v>
      </c>
      <c r="D996" s="191" t="str">
        <f t="shared" si="47"/>
        <v>V-StrongLumio krycí lišta C k LED profilům naklapávací průsvitná 4100mm (252279)</v>
      </c>
      <c r="E996" s="77" t="s">
        <v>3965</v>
      </c>
      <c r="F996" s="77" t="s">
        <v>3966</v>
      </c>
      <c r="G996" s="77" t="s">
        <v>3968</v>
      </c>
      <c r="H996" s="77" t="s">
        <v>3967</v>
      </c>
      <c r="I996" s="77" t="s">
        <v>795</v>
      </c>
      <c r="J996" s="90">
        <v>100</v>
      </c>
      <c r="K996" s="91">
        <v>0.5</v>
      </c>
      <c r="L996" s="77" t="s">
        <v>6566</v>
      </c>
      <c r="M996" s="78">
        <v>223.50399999999999</v>
      </c>
      <c r="N996" s="79">
        <v>8.8485600000000009</v>
      </c>
      <c r="O996" s="79">
        <v>22.574580000000001</v>
      </c>
      <c r="P996" s="79">
        <v>3047.5000100000002</v>
      </c>
      <c r="Q996" s="77"/>
      <c r="R996" s="77"/>
      <c r="S996" s="77"/>
      <c r="T996" s="77"/>
      <c r="U996" s="77"/>
      <c r="V996" s="87"/>
      <c r="W996" s="87"/>
      <c r="X996" s="87"/>
      <c r="Y996" s="77"/>
      <c r="Z996" s="88"/>
      <c r="AA996" s="35"/>
      <c r="AB996" s="35"/>
    </row>
    <row r="997" spans="1:28" x14ac:dyDescent="0.25">
      <c r="A997" s="68" t="str">
        <f t="shared" si="48"/>
        <v>472754</v>
      </c>
      <c r="B997" s="10">
        <f t="shared" si="49"/>
        <v>109.312</v>
      </c>
      <c r="C997" s="77" t="s">
        <v>5582</v>
      </c>
      <c r="D997" s="191" t="str">
        <f t="shared" si="47"/>
        <v>V-StrongLumio krycí lišta C2 k profilu Slim/Smart10 naklapávací mléčná 2000mm</v>
      </c>
      <c r="E997" s="77" t="s">
        <v>3969</v>
      </c>
      <c r="F997" s="77" t="s">
        <v>3969</v>
      </c>
      <c r="G997" s="77" t="s">
        <v>3970</v>
      </c>
      <c r="H997" s="77" t="s">
        <v>1771</v>
      </c>
      <c r="I997" s="77" t="s">
        <v>795</v>
      </c>
      <c r="J997" s="90">
        <v>100</v>
      </c>
      <c r="K997" s="91">
        <v>1</v>
      </c>
      <c r="L997" s="77" t="s">
        <v>6566</v>
      </c>
      <c r="M997" s="78">
        <v>109.312</v>
      </c>
      <c r="N997" s="79">
        <v>4.32768</v>
      </c>
      <c r="O997" s="79">
        <v>10.036759999999999</v>
      </c>
      <c r="P997" s="79">
        <v>1495.00001</v>
      </c>
      <c r="Q997" s="77"/>
      <c r="R997" s="77"/>
      <c r="S997" s="77"/>
      <c r="T997" s="77"/>
      <c r="U997" s="77"/>
      <c r="V997" s="87"/>
      <c r="W997" s="87"/>
      <c r="X997" s="87"/>
      <c r="Y997" s="77"/>
      <c r="Z997" s="88"/>
      <c r="AA997" s="35"/>
      <c r="AB997" s="35"/>
    </row>
    <row r="998" spans="1:28" x14ac:dyDescent="0.25">
      <c r="A998" s="68" t="str">
        <f t="shared" si="48"/>
        <v>484676</v>
      </c>
      <c r="B998" s="10">
        <f t="shared" si="49"/>
        <v>55.786499999999997</v>
      </c>
      <c r="C998" s="77" t="s">
        <v>5583</v>
      </c>
      <c r="D998" s="191" t="str">
        <f t="shared" si="47"/>
        <v>V-StrongLumio krycí lišta E k profilu Cabi naklap/výsuvná průsv. 3000mm (469094)</v>
      </c>
      <c r="E998" s="77" t="s">
        <v>3971</v>
      </c>
      <c r="F998" s="77" t="s">
        <v>3972</v>
      </c>
      <c r="G998" s="77" t="s">
        <v>3974</v>
      </c>
      <c r="H998" s="77" t="s">
        <v>3973</v>
      </c>
      <c r="I998" s="77" t="s">
        <v>795</v>
      </c>
      <c r="J998" s="90">
        <v>20</v>
      </c>
      <c r="K998" s="91">
        <v>1</v>
      </c>
      <c r="L998" s="77" t="s">
        <v>6566</v>
      </c>
      <c r="M998" s="78">
        <v>55.786499999999997</v>
      </c>
      <c r="N998" s="79">
        <v>2.20248</v>
      </c>
      <c r="O998" s="79">
        <v>5.7630499999999998</v>
      </c>
      <c r="P998" s="79">
        <v>790.62499000000003</v>
      </c>
      <c r="Q998" s="77"/>
      <c r="R998" s="77"/>
      <c r="S998" s="77"/>
      <c r="T998" s="77"/>
      <c r="U998" s="77"/>
      <c r="V998" s="87"/>
      <c r="W998" s="87"/>
      <c r="X998" s="87"/>
      <c r="Y998" s="77"/>
      <c r="Z998" s="88"/>
      <c r="AA998" s="35"/>
      <c r="AB998" s="35"/>
    </row>
    <row r="999" spans="1:28" x14ac:dyDescent="0.25">
      <c r="A999" s="68" t="str">
        <f t="shared" si="48"/>
        <v>550324</v>
      </c>
      <c r="B999" s="10">
        <f t="shared" si="49"/>
        <v>666.60799999999995</v>
      </c>
      <c r="C999" s="77" t="s">
        <v>5584</v>
      </c>
      <c r="D999" s="191" t="str">
        <f t="shared" si="47"/>
        <v>V-StrongLumio krycí lišta K k profilu Floor naklapávací mléčná 3000mm (367363)</v>
      </c>
      <c r="E999" s="77" t="s">
        <v>3975</v>
      </c>
      <c r="F999" s="77" t="s">
        <v>3976</v>
      </c>
      <c r="G999" s="77" t="s">
        <v>3978</v>
      </c>
      <c r="H999" s="77" t="s">
        <v>3977</v>
      </c>
      <c r="I999" s="77" t="s">
        <v>795</v>
      </c>
      <c r="J999" s="90">
        <v>20</v>
      </c>
      <c r="K999" s="91">
        <v>1</v>
      </c>
      <c r="L999" s="77" t="s">
        <v>6566</v>
      </c>
      <c r="M999" s="78">
        <v>666.60799999999995</v>
      </c>
      <c r="N999" s="79">
        <v>26.391120000000001</v>
      </c>
      <c r="O999" s="79">
        <v>65.91686</v>
      </c>
      <c r="P999" s="79">
        <v>9444.375</v>
      </c>
      <c r="Q999" s="77"/>
      <c r="R999" s="77"/>
      <c r="S999" s="77"/>
      <c r="T999" s="77"/>
      <c r="U999" s="77"/>
      <c r="V999" s="87"/>
      <c r="W999" s="87"/>
      <c r="X999" s="87"/>
      <c r="Y999" s="77"/>
      <c r="Z999" s="88"/>
      <c r="AA999" s="35"/>
      <c r="AB999" s="35"/>
    </row>
    <row r="1000" spans="1:28" x14ac:dyDescent="0.25">
      <c r="A1000" s="68" t="str">
        <f t="shared" si="48"/>
        <v>208149</v>
      </c>
      <c r="B1000" s="10">
        <f t="shared" si="49"/>
        <v>20.286000000000001</v>
      </c>
      <c r="C1000" s="77" t="s">
        <v>5585</v>
      </c>
      <c r="D1000" s="191" t="str">
        <f t="shared" si="47"/>
        <v>V-StrongLumio krycí lišta k LED profilům násuvná mléčná 1000mm (130642)</v>
      </c>
      <c r="E1000" s="77" t="s">
        <v>3979</v>
      </c>
      <c r="F1000" s="77" t="s">
        <v>3980</v>
      </c>
      <c r="G1000" s="77" t="s">
        <v>3982</v>
      </c>
      <c r="H1000" s="77" t="s">
        <v>3981</v>
      </c>
      <c r="I1000" s="77" t="s">
        <v>795</v>
      </c>
      <c r="J1000" s="90">
        <v>100</v>
      </c>
      <c r="K1000" s="91">
        <v>1</v>
      </c>
      <c r="L1000" s="77" t="s">
        <v>160</v>
      </c>
      <c r="M1000" s="78">
        <v>20.286000000000001</v>
      </c>
      <c r="N1000" s="79">
        <v>0.79967999999999995</v>
      </c>
      <c r="O1000" s="79">
        <v>2.8285100000000001</v>
      </c>
      <c r="P1000" s="79">
        <v>287.50000999999997</v>
      </c>
      <c r="Q1000" s="77"/>
      <c r="R1000" s="77"/>
      <c r="S1000" s="77"/>
      <c r="T1000" s="77"/>
      <c r="U1000" s="77"/>
      <c r="V1000" s="87"/>
      <c r="W1000" s="87"/>
      <c r="X1000" s="87"/>
      <c r="Y1000" s="77"/>
      <c r="Z1000" s="88"/>
      <c r="AA1000" s="35"/>
      <c r="AB1000" s="35"/>
    </row>
    <row r="1001" spans="1:28" x14ac:dyDescent="0.25">
      <c r="A1001" s="68" t="str">
        <f t="shared" si="48"/>
        <v>310778</v>
      </c>
      <c r="B1001" s="10">
        <f t="shared" si="49"/>
        <v>49.776000000000003</v>
      </c>
      <c r="C1001" s="77" t="s">
        <v>5586</v>
      </c>
      <c r="D1001" s="191" t="str">
        <f t="shared" si="47"/>
        <v>V-StrongLumio krycí lišta k profilu Cabi naklap/výsuvná mléčná 2000mm (285084)</v>
      </c>
      <c r="E1001" s="77" t="s">
        <v>3983</v>
      </c>
      <c r="F1001" s="77" t="s">
        <v>3984</v>
      </c>
      <c r="G1001" s="77" t="s">
        <v>3986</v>
      </c>
      <c r="H1001" s="77" t="s">
        <v>3985</v>
      </c>
      <c r="I1001" s="77" t="s">
        <v>795</v>
      </c>
      <c r="J1001" s="90">
        <v>100</v>
      </c>
      <c r="K1001" s="91">
        <v>1</v>
      </c>
      <c r="L1001" s="77" t="s">
        <v>6566</v>
      </c>
      <c r="M1001" s="78">
        <v>49.776000000000003</v>
      </c>
      <c r="N1001" s="79">
        <v>1.9706399999999999</v>
      </c>
      <c r="O1001" s="79">
        <v>5.1273</v>
      </c>
      <c r="P1001" s="79">
        <v>675.62500999999997</v>
      </c>
      <c r="Q1001" s="77"/>
      <c r="R1001" s="77"/>
      <c r="S1001" s="77"/>
      <c r="T1001" s="77"/>
      <c r="U1001" s="77"/>
      <c r="V1001" s="87"/>
      <c r="W1001" s="87"/>
      <c r="X1001" s="87"/>
      <c r="Y1001" s="77"/>
      <c r="Z1001" s="88"/>
      <c r="AA1001" s="35"/>
      <c r="AB1001" s="35"/>
    </row>
    <row r="1002" spans="1:28" x14ac:dyDescent="0.25">
      <c r="A1002" s="68" t="str">
        <f t="shared" si="48"/>
        <v>310779</v>
      </c>
      <c r="B1002" s="10">
        <f t="shared" si="49"/>
        <v>38.064</v>
      </c>
      <c r="C1002" s="77" t="s">
        <v>5587</v>
      </c>
      <c r="D1002" s="191" t="str">
        <f t="shared" si="47"/>
        <v>V-StrongLumio krycí lišta k profilu Cabi naklap/výsuvná průsvitná2000mm (285083)</v>
      </c>
      <c r="E1002" s="77" t="s">
        <v>3987</v>
      </c>
      <c r="F1002" s="77" t="s">
        <v>3988</v>
      </c>
      <c r="G1002" s="77" t="s">
        <v>3990</v>
      </c>
      <c r="H1002" s="77" t="s">
        <v>3989</v>
      </c>
      <c r="I1002" s="77" t="s">
        <v>795</v>
      </c>
      <c r="J1002" s="90">
        <v>100</v>
      </c>
      <c r="K1002" s="91">
        <v>1</v>
      </c>
      <c r="L1002" s="77" t="s">
        <v>6566</v>
      </c>
      <c r="M1002" s="78">
        <v>38.064</v>
      </c>
      <c r="N1002" s="79">
        <v>1.5069600000000001</v>
      </c>
      <c r="O1002" s="79">
        <v>4.6771799999999999</v>
      </c>
      <c r="P1002" s="79">
        <v>517.5</v>
      </c>
      <c r="Q1002" s="77"/>
      <c r="R1002" s="77"/>
      <c r="S1002" s="77"/>
      <c r="T1002" s="77"/>
      <c r="U1002" s="77"/>
      <c r="V1002" s="87"/>
      <c r="W1002" s="87"/>
      <c r="X1002" s="87"/>
      <c r="Y1002" s="77"/>
      <c r="Z1002" s="88"/>
      <c r="AA1002" s="35"/>
      <c r="AB1002" s="35"/>
    </row>
    <row r="1003" spans="1:28" x14ac:dyDescent="0.25">
      <c r="A1003" s="68" t="str">
        <f t="shared" si="48"/>
        <v>556577</v>
      </c>
      <c r="B1003" s="10">
        <f t="shared" si="49"/>
        <v>178.608</v>
      </c>
      <c r="C1003" s="77" t="s">
        <v>6201</v>
      </c>
      <c r="D1003" s="191" t="str">
        <f t="shared" si="47"/>
        <v>V-StrongLumio krycí lišta k profilu Slim 8/Smart 10 naklap.3000mm mléčná(424699)</v>
      </c>
      <c r="E1003" s="77" t="s">
        <v>6202</v>
      </c>
      <c r="F1003" s="77" t="s">
        <v>6551</v>
      </c>
      <c r="G1003" s="77" t="s">
        <v>6553</v>
      </c>
      <c r="H1003" s="77" t="s">
        <v>6552</v>
      </c>
      <c r="I1003" s="77" t="s">
        <v>795</v>
      </c>
      <c r="J1003" s="90">
        <v>20</v>
      </c>
      <c r="K1003" s="91">
        <v>1</v>
      </c>
      <c r="L1003" s="77" t="s">
        <v>6566</v>
      </c>
      <c r="M1003" s="78">
        <v>178.608</v>
      </c>
      <c r="N1003" s="79">
        <v>7.0711199999999996</v>
      </c>
      <c r="O1003" s="79">
        <v>17.658100000000001</v>
      </c>
      <c r="P1003" s="79">
        <v>2508.4112300000002</v>
      </c>
      <c r="Q1003" s="77"/>
      <c r="R1003" s="77"/>
      <c r="S1003" s="77"/>
      <c r="T1003" s="77"/>
      <c r="U1003" s="77"/>
      <c r="V1003" s="87"/>
      <c r="W1003" s="87"/>
      <c r="X1003" s="87"/>
      <c r="Y1003" s="77"/>
      <c r="Z1003" s="88"/>
      <c r="AA1003" s="35"/>
      <c r="AB1003" s="35"/>
    </row>
    <row r="1004" spans="1:28" x14ac:dyDescent="0.25">
      <c r="A1004" s="68" t="str">
        <f t="shared" si="48"/>
        <v>221116</v>
      </c>
      <c r="B1004" s="10">
        <f t="shared" si="49"/>
        <v>35.136000000000003</v>
      </c>
      <c r="C1004" s="77" t="s">
        <v>5588</v>
      </c>
      <c r="D1004" s="191" t="str">
        <f t="shared" si="47"/>
        <v>V-StrongLumio krycí lišta k profilu Slim/Smart10 násuvná mléčná 2000mm (215846)</v>
      </c>
      <c r="E1004" s="77" t="s">
        <v>3991</v>
      </c>
      <c r="F1004" s="77" t="s">
        <v>3992</v>
      </c>
      <c r="G1004" s="77" t="s">
        <v>3994</v>
      </c>
      <c r="H1004" s="77" t="s">
        <v>3993</v>
      </c>
      <c r="I1004" s="77" t="s">
        <v>795</v>
      </c>
      <c r="J1004" s="90">
        <v>100</v>
      </c>
      <c r="K1004" s="91">
        <v>1</v>
      </c>
      <c r="L1004" s="77" t="s">
        <v>6566</v>
      </c>
      <c r="M1004" s="78">
        <v>35.136000000000003</v>
      </c>
      <c r="N1004" s="79">
        <v>1.3910400000000001</v>
      </c>
      <c r="O1004" s="79">
        <v>3.7243900000000001</v>
      </c>
      <c r="P1004" s="79">
        <v>474.375</v>
      </c>
      <c r="Q1004" s="77"/>
      <c r="R1004" s="77"/>
      <c r="S1004" s="77"/>
      <c r="T1004" s="77"/>
      <c r="U1004" s="77"/>
      <c r="V1004" s="87"/>
      <c r="W1004" s="87"/>
      <c r="X1004" s="87"/>
      <c r="Y1004" s="77"/>
      <c r="Z1004" s="88"/>
      <c r="AA1004" s="35"/>
      <c r="AB1004" s="35"/>
    </row>
    <row r="1005" spans="1:28" x14ac:dyDescent="0.25">
      <c r="A1005" s="68" t="str">
        <f t="shared" si="48"/>
        <v>310654</v>
      </c>
      <c r="B1005" s="10">
        <f t="shared" si="49"/>
        <v>56.607999999999997</v>
      </c>
      <c r="C1005" s="77" t="s">
        <v>5589</v>
      </c>
      <c r="D1005" s="191" t="str">
        <f t="shared" si="47"/>
        <v>V-StrongLumio krycí lišta k profilu Smart/Slim násuvná průsvitná 3000mm (285031)</v>
      </c>
      <c r="E1005" s="77" t="s">
        <v>3995</v>
      </c>
      <c r="F1005" s="77" t="s">
        <v>3996</v>
      </c>
      <c r="G1005" s="77" t="s">
        <v>3998</v>
      </c>
      <c r="H1005" s="77" t="s">
        <v>3997</v>
      </c>
      <c r="I1005" s="77" t="s">
        <v>795</v>
      </c>
      <c r="J1005" s="90">
        <v>10</v>
      </c>
      <c r="K1005" s="91">
        <v>1</v>
      </c>
      <c r="L1005" s="77" t="s">
        <v>6566</v>
      </c>
      <c r="M1005" s="78">
        <v>56.607999999999997</v>
      </c>
      <c r="N1005" s="79">
        <v>2.24112</v>
      </c>
      <c r="O1005" s="79">
        <v>7.4400300000000001</v>
      </c>
      <c r="P1005" s="79">
        <v>776.25</v>
      </c>
      <c r="Q1005" s="77"/>
      <c r="R1005" s="77"/>
      <c r="S1005" s="77"/>
      <c r="T1005" s="77"/>
      <c r="U1005" s="77"/>
      <c r="V1005" s="87"/>
      <c r="W1005" s="87"/>
      <c r="X1005" s="87"/>
      <c r="Y1005" s="77"/>
      <c r="Z1005" s="88"/>
      <c r="AA1005" s="35"/>
      <c r="AB1005" s="35"/>
    </row>
    <row r="1006" spans="1:28" x14ac:dyDescent="0.25">
      <c r="A1006" s="68" t="str">
        <f t="shared" si="48"/>
        <v>312329</v>
      </c>
      <c r="B1006" s="10">
        <f t="shared" si="49"/>
        <v>373.29599999999999</v>
      </c>
      <c r="C1006" s="77" t="s">
        <v>5590</v>
      </c>
      <c r="D1006" s="191" t="str">
        <f t="shared" si="47"/>
        <v>V-StrongLumio LED mechanický vypínač 12/24V do profilů 90W/180W (312317)</v>
      </c>
      <c r="E1006" s="77" t="s">
        <v>3999</v>
      </c>
      <c r="F1006" s="77" t="s">
        <v>4000</v>
      </c>
      <c r="G1006" s="77" t="s">
        <v>4002</v>
      </c>
      <c r="H1006" s="77" t="s">
        <v>4001</v>
      </c>
      <c r="I1006" s="77" t="s">
        <v>795</v>
      </c>
      <c r="J1006" s="90">
        <v>10</v>
      </c>
      <c r="K1006" s="91">
        <v>1</v>
      </c>
      <c r="L1006" s="77" t="s">
        <v>6566</v>
      </c>
      <c r="M1006" s="78">
        <v>373.29599999999999</v>
      </c>
      <c r="N1006" s="79">
        <v>15.98202</v>
      </c>
      <c r="O1006" s="79">
        <v>52.192309999999999</v>
      </c>
      <c r="P1006" s="79">
        <v>5510.8125</v>
      </c>
      <c r="Q1006" s="77"/>
      <c r="R1006" s="77"/>
      <c r="S1006" s="77"/>
      <c r="T1006" s="77"/>
      <c r="U1006" s="77"/>
      <c r="V1006" s="87"/>
      <c r="W1006" s="87"/>
      <c r="X1006" s="87"/>
      <c r="Y1006" s="77"/>
      <c r="Z1006" s="88"/>
      <c r="AA1006" s="35"/>
      <c r="AB1006" s="35"/>
    </row>
    <row r="1007" spans="1:28" x14ac:dyDescent="0.25">
      <c r="A1007" s="68" t="str">
        <f t="shared" si="48"/>
        <v>534671</v>
      </c>
      <c r="B1007" s="10">
        <f t="shared" si="49"/>
        <v>94.16</v>
      </c>
      <c r="C1007" s="77" t="s">
        <v>5591</v>
      </c>
      <c r="D1007" s="191" t="str">
        <f t="shared" si="47"/>
        <v>V-StrongLumio LED pásek 12V COB 10W/m (480 LED/m) - 8mm - studená bílá(509067)</v>
      </c>
      <c r="E1007" s="77" t="s">
        <v>4003</v>
      </c>
      <c r="F1007" s="77" t="s">
        <v>4004</v>
      </c>
      <c r="G1007" s="77" t="s">
        <v>4006</v>
      </c>
      <c r="H1007" s="77" t="s">
        <v>4005</v>
      </c>
      <c r="I1007" s="77" t="s">
        <v>992</v>
      </c>
      <c r="J1007" s="90">
        <v>50</v>
      </c>
      <c r="K1007" s="91">
        <v>1</v>
      </c>
      <c r="L1007" s="77" t="s">
        <v>6566</v>
      </c>
      <c r="M1007" s="78">
        <v>94.16</v>
      </c>
      <c r="N1007" s="79">
        <v>3.84687</v>
      </c>
      <c r="O1007" s="79">
        <v>11.22138</v>
      </c>
      <c r="P1007" s="79">
        <v>1300.6753200000001</v>
      </c>
      <c r="Q1007" s="77"/>
      <c r="R1007" s="77"/>
      <c r="S1007" s="77"/>
      <c r="T1007" s="77"/>
      <c r="U1007" s="77"/>
      <c r="V1007" s="87"/>
      <c r="W1007" s="87"/>
      <c r="X1007" s="87"/>
      <c r="Y1007" s="77"/>
      <c r="Z1007" s="88"/>
      <c r="AA1007" s="35"/>
      <c r="AB1007" s="35"/>
    </row>
    <row r="1008" spans="1:28" x14ac:dyDescent="0.25">
      <c r="A1008" s="68" t="str">
        <f t="shared" si="48"/>
        <v>534669</v>
      </c>
      <c r="B1008" s="10">
        <f t="shared" si="49"/>
        <v>94.16</v>
      </c>
      <c r="C1008" s="77" t="s">
        <v>5592</v>
      </c>
      <c r="D1008" s="191" t="str">
        <f t="shared" si="47"/>
        <v>V-StrongLumio LED pásek 12V COB 10W/m (480 LED/m) - 8mm - teplá bílá (509065)</v>
      </c>
      <c r="E1008" s="77" t="s">
        <v>4007</v>
      </c>
      <c r="F1008" s="77" t="s">
        <v>4008</v>
      </c>
      <c r="G1008" s="77" t="s">
        <v>4010</v>
      </c>
      <c r="H1008" s="77" t="s">
        <v>4009</v>
      </c>
      <c r="I1008" s="77" t="s">
        <v>992</v>
      </c>
      <c r="J1008" s="90">
        <v>50</v>
      </c>
      <c r="K1008" s="91">
        <v>1</v>
      </c>
      <c r="L1008" s="77" t="s">
        <v>6566</v>
      </c>
      <c r="M1008" s="78">
        <v>94.16</v>
      </c>
      <c r="N1008" s="79">
        <v>3.84687</v>
      </c>
      <c r="O1008" s="79">
        <v>10.55925</v>
      </c>
      <c r="P1008" s="79">
        <v>1300.6753200000001</v>
      </c>
      <c r="Q1008" s="77"/>
      <c r="R1008" s="77"/>
      <c r="S1008" s="77"/>
      <c r="T1008" s="77"/>
      <c r="U1008" s="77"/>
      <c r="V1008" s="87"/>
      <c r="W1008" s="87"/>
      <c r="X1008" s="87"/>
      <c r="Y1008" s="77"/>
      <c r="Z1008" s="88"/>
      <c r="AA1008" s="35"/>
      <c r="AB1008" s="35"/>
    </row>
    <row r="1009" spans="1:28" x14ac:dyDescent="0.25">
      <c r="A1009" s="68" t="str">
        <f t="shared" si="48"/>
        <v>534670</v>
      </c>
      <c r="B1009" s="10">
        <f t="shared" si="49"/>
        <v>94.16</v>
      </c>
      <c r="C1009" s="77" t="s">
        <v>5593</v>
      </c>
      <c r="D1009" s="191" t="str">
        <f t="shared" si="47"/>
        <v>V-StrongLumio LED pásek 12V COB 10W/m (480 LED/m)-8mm-neutrální bílá (509066)</v>
      </c>
      <c r="E1009" s="77" t="s">
        <v>4011</v>
      </c>
      <c r="F1009" s="77" t="s">
        <v>4012</v>
      </c>
      <c r="G1009" s="77" t="s">
        <v>4014</v>
      </c>
      <c r="H1009" s="77" t="s">
        <v>4013</v>
      </c>
      <c r="I1009" s="77" t="s">
        <v>992</v>
      </c>
      <c r="J1009" s="90">
        <v>50</v>
      </c>
      <c r="K1009" s="91">
        <v>0.5</v>
      </c>
      <c r="L1009" s="77" t="s">
        <v>6566</v>
      </c>
      <c r="M1009" s="78">
        <v>94.16</v>
      </c>
      <c r="N1009" s="79">
        <v>3.84687</v>
      </c>
      <c r="O1009" s="79">
        <v>10.1806</v>
      </c>
      <c r="P1009" s="79">
        <v>1300.6753200000001</v>
      </c>
      <c r="Q1009" s="77"/>
      <c r="R1009" s="77"/>
      <c r="S1009" s="77"/>
      <c r="T1009" s="77"/>
      <c r="U1009" s="77"/>
      <c r="V1009" s="87"/>
      <c r="W1009" s="87"/>
      <c r="X1009" s="87"/>
      <c r="Y1009" s="77"/>
      <c r="Z1009" s="88"/>
      <c r="AA1009" s="35"/>
      <c r="AB1009" s="35"/>
    </row>
    <row r="1010" spans="1:28" x14ac:dyDescent="0.25">
      <c r="A1010" s="68" t="str">
        <f t="shared" si="48"/>
        <v>305414</v>
      </c>
      <c r="B1010" s="10">
        <f t="shared" si="49"/>
        <v>129.47</v>
      </c>
      <c r="C1010" s="77" t="s">
        <v>5594</v>
      </c>
      <c r="D1010" s="191" t="str">
        <f t="shared" si="47"/>
        <v>V-StrongLumio LED pásek 12W/m (120) 24V bílá neutrální (284561)</v>
      </c>
      <c r="E1010" s="77" t="s">
        <v>4015</v>
      </c>
      <c r="F1010" s="77" t="s">
        <v>4016</v>
      </c>
      <c r="G1010" s="77" t="s">
        <v>4018</v>
      </c>
      <c r="H1010" s="77" t="s">
        <v>4017</v>
      </c>
      <c r="I1010" s="77" t="s">
        <v>992</v>
      </c>
      <c r="J1010" s="90">
        <v>5</v>
      </c>
      <c r="K1010" s="91">
        <v>0.5</v>
      </c>
      <c r="L1010" s="77" t="s">
        <v>6566</v>
      </c>
      <c r="M1010" s="78">
        <v>129.47</v>
      </c>
      <c r="N1010" s="79">
        <v>5.2894399999999999</v>
      </c>
      <c r="O1010" s="79">
        <v>13.77168</v>
      </c>
      <c r="P1010" s="79">
        <v>1788.4285600000001</v>
      </c>
      <c r="Q1010" s="77"/>
      <c r="R1010" s="77"/>
      <c r="S1010" s="77"/>
      <c r="T1010" s="77"/>
      <c r="U1010" s="77"/>
      <c r="V1010" s="87"/>
      <c r="W1010" s="87"/>
      <c r="X1010" s="87"/>
      <c r="Y1010" s="77"/>
      <c r="Z1010" s="88"/>
      <c r="AA1010" s="35"/>
      <c r="AB1010" s="35"/>
    </row>
    <row r="1011" spans="1:28" x14ac:dyDescent="0.25">
      <c r="A1011" s="68" t="str">
        <f t="shared" si="48"/>
        <v>311129</v>
      </c>
      <c r="B1011" s="10">
        <f t="shared" si="49"/>
        <v>129.47</v>
      </c>
      <c r="C1011" s="77" t="s">
        <v>5595</v>
      </c>
      <c r="D1011" s="191" t="str">
        <f t="shared" si="47"/>
        <v>V-StrongLumio LED pásek 12W/m (120) 24V bílá studená (284562)</v>
      </c>
      <c r="E1011" s="77" t="s">
        <v>4019</v>
      </c>
      <c r="F1011" s="77" t="s">
        <v>4020</v>
      </c>
      <c r="G1011" s="77" t="s">
        <v>4022</v>
      </c>
      <c r="H1011" s="77" t="s">
        <v>4021</v>
      </c>
      <c r="I1011" s="77" t="s">
        <v>992</v>
      </c>
      <c r="J1011" s="90">
        <v>5</v>
      </c>
      <c r="K1011" s="91">
        <v>0.1</v>
      </c>
      <c r="L1011" s="77" t="s">
        <v>6566</v>
      </c>
      <c r="M1011" s="78">
        <v>129.47</v>
      </c>
      <c r="N1011" s="79">
        <v>5.2894399999999999</v>
      </c>
      <c r="O1011" s="79">
        <v>14.99258</v>
      </c>
      <c r="P1011" s="79">
        <v>1788.4285600000001</v>
      </c>
      <c r="Q1011" s="77"/>
      <c r="R1011" s="77"/>
      <c r="S1011" s="77"/>
      <c r="T1011" s="77"/>
      <c r="U1011" s="77"/>
      <c r="V1011" s="87"/>
      <c r="W1011" s="87"/>
      <c r="X1011" s="87"/>
      <c r="Y1011" s="77"/>
      <c r="Z1011" s="88"/>
      <c r="AA1011" s="35"/>
      <c r="AB1011" s="35"/>
    </row>
    <row r="1012" spans="1:28" x14ac:dyDescent="0.25">
      <c r="A1012" s="68" t="str">
        <f t="shared" si="48"/>
        <v>311883</v>
      </c>
      <c r="B1012" s="10">
        <f t="shared" si="49"/>
        <v>129.47</v>
      </c>
      <c r="C1012" s="77" t="s">
        <v>5596</v>
      </c>
      <c r="D1012" s="191" t="str">
        <f t="shared" si="47"/>
        <v>V-StrongLumio LED pásek 12W/m (120) 24V bílá teplá (284560)</v>
      </c>
      <c r="E1012" s="77" t="s">
        <v>4023</v>
      </c>
      <c r="F1012" s="77" t="s">
        <v>4024</v>
      </c>
      <c r="G1012" s="77" t="s">
        <v>4026</v>
      </c>
      <c r="H1012" s="77" t="s">
        <v>4025</v>
      </c>
      <c r="I1012" s="77" t="s">
        <v>992</v>
      </c>
      <c r="J1012" s="90">
        <v>5</v>
      </c>
      <c r="K1012" s="91">
        <v>0.1</v>
      </c>
      <c r="L1012" s="77" t="s">
        <v>6566</v>
      </c>
      <c r="M1012" s="78">
        <v>129.47</v>
      </c>
      <c r="N1012" s="79">
        <v>5.2894399999999999</v>
      </c>
      <c r="O1012" s="79">
        <v>14.76398</v>
      </c>
      <c r="P1012" s="79">
        <v>1788.4285600000001</v>
      </c>
      <c r="Q1012" s="77"/>
      <c r="R1012" s="77"/>
      <c r="S1012" s="77"/>
      <c r="T1012" s="77"/>
      <c r="U1012" s="77"/>
      <c r="V1012" s="87"/>
      <c r="W1012" s="87"/>
      <c r="X1012" s="87"/>
      <c r="Y1012" s="77"/>
      <c r="Z1012" s="88"/>
      <c r="AA1012" s="35"/>
      <c r="AB1012" s="35"/>
    </row>
    <row r="1013" spans="1:28" x14ac:dyDescent="0.25">
      <c r="A1013" s="68" t="str">
        <f t="shared" si="48"/>
        <v>259826</v>
      </c>
      <c r="B1013" s="10">
        <f t="shared" si="49"/>
        <v>100.43</v>
      </c>
      <c r="C1013" s="77" t="s">
        <v>5597</v>
      </c>
      <c r="D1013" s="191" t="str">
        <f t="shared" si="47"/>
        <v>V-StrongLumio LED pásek 12W/m 12V bílá neutrální (250030)</v>
      </c>
      <c r="E1013" s="77" t="s">
        <v>4027</v>
      </c>
      <c r="F1013" s="77" t="s">
        <v>4028</v>
      </c>
      <c r="G1013" s="77" t="s">
        <v>4030</v>
      </c>
      <c r="H1013" s="77" t="s">
        <v>4029</v>
      </c>
      <c r="I1013" s="77" t="s">
        <v>992</v>
      </c>
      <c r="J1013" s="90">
        <v>30</v>
      </c>
      <c r="K1013" s="91">
        <v>0.05</v>
      </c>
      <c r="L1013" s="77" t="s">
        <v>6566</v>
      </c>
      <c r="M1013" s="78">
        <v>100.43</v>
      </c>
      <c r="N1013" s="79">
        <v>4.0917599999999998</v>
      </c>
      <c r="O1013" s="79">
        <v>7.3053100000000004</v>
      </c>
      <c r="P1013" s="79">
        <v>1213.87501</v>
      </c>
      <c r="Q1013" s="77"/>
      <c r="R1013" s="77"/>
      <c r="S1013" s="77"/>
      <c r="T1013" s="77"/>
      <c r="U1013" s="77"/>
      <c r="V1013" s="87"/>
      <c r="W1013" s="87"/>
      <c r="X1013" s="87"/>
      <c r="Y1013" s="77"/>
      <c r="Z1013" s="88"/>
      <c r="AA1013" s="35"/>
      <c r="AB1013" s="35"/>
    </row>
    <row r="1014" spans="1:28" x14ac:dyDescent="0.25">
      <c r="A1014" s="68" t="str">
        <f t="shared" si="48"/>
        <v>247036</v>
      </c>
      <c r="B1014" s="10">
        <f t="shared" si="49"/>
        <v>100.43</v>
      </c>
      <c r="C1014" s="77" t="s">
        <v>5598</v>
      </c>
      <c r="D1014" s="191" t="str">
        <f t="shared" si="47"/>
        <v>V-StrongLumio LED pásek 12W/m 12V bílá studená (231388)</v>
      </c>
      <c r="E1014" s="77" t="s">
        <v>4031</v>
      </c>
      <c r="F1014" s="77" t="s">
        <v>4032</v>
      </c>
      <c r="G1014" s="77" t="s">
        <v>4034</v>
      </c>
      <c r="H1014" s="77" t="s">
        <v>4033</v>
      </c>
      <c r="I1014" s="77" t="s">
        <v>992</v>
      </c>
      <c r="J1014" s="90">
        <v>50</v>
      </c>
      <c r="K1014" s="91">
        <v>0.5</v>
      </c>
      <c r="L1014" s="77" t="s">
        <v>6566</v>
      </c>
      <c r="M1014" s="78">
        <v>100.43</v>
      </c>
      <c r="N1014" s="79">
        <v>4.0917599999999998</v>
      </c>
      <c r="O1014" s="79">
        <v>7.3053100000000004</v>
      </c>
      <c r="P1014" s="79">
        <v>1213.87501</v>
      </c>
      <c r="Q1014" s="77"/>
      <c r="R1014" s="77"/>
      <c r="S1014" s="77"/>
      <c r="T1014" s="77"/>
      <c r="U1014" s="77"/>
      <c r="V1014" s="87"/>
      <c r="W1014" s="87"/>
      <c r="X1014" s="87"/>
      <c r="Y1014" s="77"/>
      <c r="Z1014" s="88"/>
      <c r="AA1014" s="35"/>
      <c r="AB1014" s="35"/>
    </row>
    <row r="1015" spans="1:28" x14ac:dyDescent="0.25">
      <c r="A1015" s="68" t="str">
        <f t="shared" si="48"/>
        <v>247037</v>
      </c>
      <c r="B1015" s="10">
        <f t="shared" si="49"/>
        <v>100.43</v>
      </c>
      <c r="C1015" s="77" t="s">
        <v>5599</v>
      </c>
      <c r="D1015" s="191" t="str">
        <f t="shared" si="47"/>
        <v>V-StrongLumio LED pásek 12W/m 12V bílá teplá (231394)</v>
      </c>
      <c r="E1015" s="77" t="s">
        <v>4035</v>
      </c>
      <c r="F1015" s="77" t="s">
        <v>4036</v>
      </c>
      <c r="G1015" s="77" t="s">
        <v>4038</v>
      </c>
      <c r="H1015" s="77" t="s">
        <v>4037</v>
      </c>
      <c r="I1015" s="77" t="s">
        <v>992</v>
      </c>
      <c r="J1015" s="90">
        <v>50</v>
      </c>
      <c r="K1015" s="91">
        <v>0.1</v>
      </c>
      <c r="L1015" s="77" t="s">
        <v>6566</v>
      </c>
      <c r="M1015" s="78">
        <v>100.43</v>
      </c>
      <c r="N1015" s="79">
        <v>4.0917599999999998</v>
      </c>
      <c r="O1015" s="79">
        <v>7.024</v>
      </c>
      <c r="P1015" s="79">
        <v>1213.87501</v>
      </c>
      <c r="Q1015" s="77"/>
      <c r="R1015" s="77"/>
      <c r="S1015" s="77"/>
      <c r="T1015" s="77"/>
      <c r="U1015" s="77"/>
      <c r="V1015" s="87"/>
      <c r="W1015" s="87"/>
      <c r="X1015" s="87"/>
      <c r="Y1015" s="77"/>
      <c r="Z1015" s="88"/>
      <c r="AA1015" s="35"/>
      <c r="AB1015" s="35"/>
    </row>
    <row r="1016" spans="1:28" x14ac:dyDescent="0.25">
      <c r="A1016" s="68" t="str">
        <f t="shared" si="48"/>
        <v>247039</v>
      </c>
      <c r="B1016" s="10">
        <f t="shared" si="49"/>
        <v>175.01990000000001</v>
      </c>
      <c r="C1016" s="77" t="s">
        <v>5600</v>
      </c>
      <c r="D1016" s="191" t="str">
        <f t="shared" si="47"/>
        <v>V-StrongLumio LED pásek 12W/m 12V bílá teplá IP65 (231401)</v>
      </c>
      <c r="E1016" s="77" t="s">
        <v>4039</v>
      </c>
      <c r="F1016" s="77" t="s">
        <v>4040</v>
      </c>
      <c r="G1016" s="77" t="s">
        <v>4042</v>
      </c>
      <c r="H1016" s="77" t="s">
        <v>4041</v>
      </c>
      <c r="I1016" s="77" t="s">
        <v>992</v>
      </c>
      <c r="J1016" s="90">
        <v>5</v>
      </c>
      <c r="K1016" s="91">
        <v>0.5</v>
      </c>
      <c r="L1016" s="77" t="s">
        <v>160</v>
      </c>
      <c r="M1016" s="78">
        <v>175.01990000000001</v>
      </c>
      <c r="N1016" s="79">
        <v>7.1503699999999997</v>
      </c>
      <c r="O1016" s="79">
        <v>39.299599999999998</v>
      </c>
      <c r="P1016" s="79">
        <v>2417.6305200000002</v>
      </c>
      <c r="Q1016" s="77"/>
      <c r="R1016" s="77"/>
      <c r="S1016" s="77"/>
      <c r="T1016" s="77"/>
      <c r="U1016" s="77"/>
      <c r="V1016" s="87"/>
      <c r="W1016" s="87"/>
      <c r="X1016" s="87"/>
      <c r="Y1016" s="77"/>
      <c r="Z1016" s="88"/>
      <c r="AA1016" s="35"/>
      <c r="AB1016" s="35"/>
    </row>
    <row r="1017" spans="1:28" x14ac:dyDescent="0.25">
      <c r="A1017" s="68" t="str">
        <f t="shared" si="48"/>
        <v>208173</v>
      </c>
      <c r="B1017" s="10">
        <f t="shared" si="49"/>
        <v>211.75</v>
      </c>
      <c r="C1017" s="77" t="s">
        <v>5601</v>
      </c>
      <c r="D1017" s="191" t="str">
        <f t="shared" si="47"/>
        <v>V-StrongLumio LED pásek 14,4W/m 12V bílá studená (132276)</v>
      </c>
      <c r="E1017" s="77" t="s">
        <v>4043</v>
      </c>
      <c r="F1017" s="77" t="s">
        <v>4044</v>
      </c>
      <c r="G1017" s="77" t="s">
        <v>4046</v>
      </c>
      <c r="H1017" s="77" t="s">
        <v>4045</v>
      </c>
      <c r="I1017" s="77" t="s">
        <v>992</v>
      </c>
      <c r="J1017" s="90">
        <v>30</v>
      </c>
      <c r="K1017" s="91">
        <v>0.5</v>
      </c>
      <c r="L1017" s="77" t="s">
        <v>160</v>
      </c>
      <c r="M1017" s="78">
        <v>211.75</v>
      </c>
      <c r="N1017" s="79">
        <v>8.6271299999999993</v>
      </c>
      <c r="O1017" s="79">
        <v>13.1389</v>
      </c>
      <c r="P1017" s="79">
        <v>2559.375</v>
      </c>
      <c r="Q1017" s="77"/>
      <c r="R1017" s="77"/>
      <c r="S1017" s="77"/>
      <c r="T1017" s="77"/>
      <c r="U1017" s="77"/>
      <c r="V1017" s="87"/>
      <c r="W1017" s="87"/>
      <c r="X1017" s="87"/>
      <c r="Y1017" s="77"/>
      <c r="Z1017" s="88"/>
      <c r="AA1017" s="35"/>
      <c r="AB1017" s="35"/>
    </row>
    <row r="1018" spans="1:28" x14ac:dyDescent="0.25">
      <c r="A1018" s="68" t="str">
        <f t="shared" si="48"/>
        <v>208175</v>
      </c>
      <c r="B1018" s="10">
        <f t="shared" si="49"/>
        <v>211.75</v>
      </c>
      <c r="C1018" s="77" t="s">
        <v>5602</v>
      </c>
      <c r="D1018" s="191" t="str">
        <f t="shared" si="47"/>
        <v>V-StrongLumio LED pásek 14,4W/m 12V bílá teplá (157844)</v>
      </c>
      <c r="E1018" s="77" t="s">
        <v>4047</v>
      </c>
      <c r="F1018" s="77" t="s">
        <v>4048</v>
      </c>
      <c r="G1018" s="77" t="s">
        <v>4050</v>
      </c>
      <c r="H1018" s="77" t="s">
        <v>4049</v>
      </c>
      <c r="I1018" s="77" t="s">
        <v>992</v>
      </c>
      <c r="J1018" s="90">
        <v>30</v>
      </c>
      <c r="K1018" s="91">
        <v>0.5</v>
      </c>
      <c r="L1018" s="77" t="s">
        <v>160</v>
      </c>
      <c r="M1018" s="78">
        <v>211.75</v>
      </c>
      <c r="N1018" s="79">
        <v>8.6271299999999993</v>
      </c>
      <c r="O1018" s="79">
        <v>15.034319999999999</v>
      </c>
      <c r="P1018" s="79">
        <v>2559.375</v>
      </c>
      <c r="Q1018" s="77"/>
      <c r="R1018" s="77"/>
      <c r="S1018" s="77"/>
      <c r="T1018" s="77"/>
      <c r="U1018" s="77"/>
      <c r="V1018" s="87"/>
      <c r="W1018" s="87"/>
      <c r="X1018" s="87"/>
      <c r="Y1018" s="77"/>
      <c r="Z1018" s="88"/>
      <c r="AA1018" s="35"/>
      <c r="AB1018" s="35"/>
    </row>
    <row r="1019" spans="1:28" x14ac:dyDescent="0.25">
      <c r="A1019" s="68" t="str">
        <f t="shared" si="48"/>
        <v>421226</v>
      </c>
      <c r="B1019" s="10">
        <f t="shared" si="49"/>
        <v>185.328</v>
      </c>
      <c r="C1019" s="77" t="s">
        <v>5603</v>
      </c>
      <c r="D1019" s="191" t="str">
        <f t="shared" si="47"/>
        <v>V-StrongLumio LED pásek 14,4W/m 24V (120 LED/m) RGB IP20 (406139)</v>
      </c>
      <c r="E1019" s="77" t="s">
        <v>4051</v>
      </c>
      <c r="F1019" s="77" t="s">
        <v>4052</v>
      </c>
      <c r="G1019" s="77" t="s">
        <v>4054</v>
      </c>
      <c r="H1019" s="77" t="s">
        <v>4053</v>
      </c>
      <c r="I1019" s="77" t="s">
        <v>992</v>
      </c>
      <c r="J1019" s="90">
        <v>5</v>
      </c>
      <c r="K1019" s="91">
        <v>0.1</v>
      </c>
      <c r="L1019" s="77" t="s">
        <v>6566</v>
      </c>
      <c r="M1019" s="78">
        <v>185.328</v>
      </c>
      <c r="N1019" s="79">
        <v>8.1947600000000005</v>
      </c>
      <c r="O1019" s="79">
        <v>35.00067</v>
      </c>
      <c r="P1019" s="79">
        <v>2800.0227199999999</v>
      </c>
      <c r="Q1019" s="77"/>
      <c r="R1019" s="77"/>
      <c r="S1019" s="77"/>
      <c r="T1019" s="77"/>
      <c r="U1019" s="77"/>
      <c r="V1019" s="87"/>
      <c r="W1019" s="87"/>
      <c r="X1019" s="87"/>
      <c r="Y1019" s="77"/>
      <c r="Z1019" s="88"/>
      <c r="AA1019" s="35"/>
      <c r="AB1019" s="35"/>
    </row>
    <row r="1020" spans="1:28" x14ac:dyDescent="0.25">
      <c r="A1020" s="68" t="str">
        <f t="shared" si="48"/>
        <v>488109</v>
      </c>
      <c r="B1020" s="10">
        <f t="shared" si="49"/>
        <v>221.44319999999999</v>
      </c>
      <c r="C1020" s="77" t="s">
        <v>5604</v>
      </c>
      <c r="D1020" s="191" t="str">
        <f t="shared" si="47"/>
        <v>V-StrongLumio LED pásek 14,4W/m 24V (60 LED/m) RGBW neutrální bílá (472113)</v>
      </c>
      <c r="E1020" s="77" t="s">
        <v>4055</v>
      </c>
      <c r="F1020" s="77" t="s">
        <v>4056</v>
      </c>
      <c r="G1020" s="77" t="s">
        <v>4057</v>
      </c>
      <c r="H1020" s="77" t="s">
        <v>794</v>
      </c>
      <c r="I1020" s="77" t="s">
        <v>992</v>
      </c>
      <c r="J1020" s="90">
        <v>100</v>
      </c>
      <c r="K1020" s="91">
        <v>0.5</v>
      </c>
      <c r="L1020" s="77" t="s">
        <v>6566</v>
      </c>
      <c r="M1020" s="78">
        <v>221.44319999999999</v>
      </c>
      <c r="N1020" s="79">
        <v>9.7917299999999994</v>
      </c>
      <c r="O1020" s="79">
        <v>35.245980000000003</v>
      </c>
      <c r="P1020" s="79">
        <v>3345.6682000000001</v>
      </c>
      <c r="Q1020" s="77"/>
      <c r="R1020" s="77"/>
      <c r="S1020" s="77"/>
      <c r="T1020" s="77"/>
      <c r="U1020" s="77"/>
      <c r="V1020" s="87"/>
      <c r="W1020" s="87"/>
      <c r="X1020" s="87"/>
      <c r="Y1020" s="77"/>
      <c r="Z1020" s="88"/>
      <c r="AA1020" s="35"/>
      <c r="AB1020" s="35"/>
    </row>
    <row r="1021" spans="1:28" x14ac:dyDescent="0.25">
      <c r="A1021" s="68" t="str">
        <f t="shared" si="48"/>
        <v>488110</v>
      </c>
      <c r="B1021" s="10">
        <f t="shared" si="49"/>
        <v>221.44319999999999</v>
      </c>
      <c r="C1021" s="77" t="s">
        <v>5605</v>
      </c>
      <c r="D1021" s="191" t="str">
        <f t="shared" si="47"/>
        <v>V-StrongLumio LED pásek 14,4W/m 24V (60 LED/m) RGBW studená bílá (472114)</v>
      </c>
      <c r="E1021" s="77" t="s">
        <v>4058</v>
      </c>
      <c r="F1021" s="77" t="s">
        <v>4059</v>
      </c>
      <c r="G1021" s="77" t="s">
        <v>4060</v>
      </c>
      <c r="H1021" s="77" t="s">
        <v>794</v>
      </c>
      <c r="I1021" s="77" t="s">
        <v>992</v>
      </c>
      <c r="J1021" s="90">
        <v>100</v>
      </c>
      <c r="K1021" s="91">
        <v>1</v>
      </c>
      <c r="L1021" s="77" t="s">
        <v>6566</v>
      </c>
      <c r="M1021" s="78">
        <v>221.44319999999999</v>
      </c>
      <c r="N1021" s="79">
        <v>9.7917299999999994</v>
      </c>
      <c r="O1021" s="79">
        <v>52.223999999999997</v>
      </c>
      <c r="P1021" s="79">
        <v>3345.6682000000001</v>
      </c>
      <c r="Q1021" s="77"/>
      <c r="R1021" s="77"/>
      <c r="S1021" s="77"/>
      <c r="T1021" s="77"/>
      <c r="U1021" s="77"/>
      <c r="V1021" s="87"/>
      <c r="W1021" s="87"/>
      <c r="X1021" s="87"/>
      <c r="Y1021" s="77"/>
      <c r="Z1021" s="88"/>
      <c r="AA1021" s="35"/>
      <c r="AB1021" s="35"/>
    </row>
    <row r="1022" spans="1:28" x14ac:dyDescent="0.25">
      <c r="A1022" s="68" t="str">
        <f t="shared" si="48"/>
        <v>399078</v>
      </c>
      <c r="B1022" s="10">
        <f t="shared" si="49"/>
        <v>176.77440000000001</v>
      </c>
      <c r="C1022" s="77" t="s">
        <v>5606</v>
      </c>
      <c r="D1022" s="191" t="str">
        <f t="shared" si="47"/>
        <v>V-StrongLumio LED pásek 14,4W/m 24V (60 LED/m) RGBW teplá bílá (393024)</v>
      </c>
      <c r="E1022" s="77" t="s">
        <v>4061</v>
      </c>
      <c r="F1022" s="77" t="s">
        <v>4062</v>
      </c>
      <c r="G1022" s="77" t="s">
        <v>794</v>
      </c>
      <c r="H1022" s="77" t="s">
        <v>794</v>
      </c>
      <c r="I1022" s="77" t="s">
        <v>992</v>
      </c>
      <c r="J1022" s="90">
        <v>5</v>
      </c>
      <c r="K1022" s="91">
        <v>0.5</v>
      </c>
      <c r="L1022" s="77" t="s">
        <v>160</v>
      </c>
      <c r="M1022" s="78">
        <v>176.77440000000001</v>
      </c>
      <c r="N1022" s="79">
        <v>7.8165399999999998</v>
      </c>
      <c r="O1022" s="79">
        <v>27.993960000000001</v>
      </c>
      <c r="P1022" s="79">
        <v>2670.7909199999999</v>
      </c>
      <c r="Q1022" s="77"/>
      <c r="R1022" s="77"/>
      <c r="S1022" s="77"/>
      <c r="T1022" s="77"/>
      <c r="U1022" s="77"/>
      <c r="V1022" s="87"/>
      <c r="W1022" s="87"/>
      <c r="X1022" s="87"/>
      <c r="Y1022" s="77"/>
      <c r="Z1022" s="88"/>
      <c r="AA1022" s="35"/>
      <c r="AB1022" s="35"/>
    </row>
    <row r="1023" spans="1:28" x14ac:dyDescent="0.25">
      <c r="A1023" s="68" t="str">
        <f t="shared" si="48"/>
        <v>304740</v>
      </c>
      <c r="B1023" s="10">
        <f t="shared" si="49"/>
        <v>153.01</v>
      </c>
      <c r="C1023" s="77" t="s">
        <v>5607</v>
      </c>
      <c r="D1023" s="191" t="str">
        <f t="shared" si="47"/>
        <v>V-StrongLumio LED pásek 14,4W/m 24V bílá neutrální (284567)</v>
      </c>
      <c r="E1023" s="77" t="s">
        <v>4063</v>
      </c>
      <c r="F1023" s="77" t="s">
        <v>4064</v>
      </c>
      <c r="G1023" s="77" t="s">
        <v>4066</v>
      </c>
      <c r="H1023" s="77" t="s">
        <v>4065</v>
      </c>
      <c r="I1023" s="77" t="s">
        <v>992</v>
      </c>
      <c r="J1023" s="90">
        <v>5</v>
      </c>
      <c r="K1023" s="91">
        <v>0.5</v>
      </c>
      <c r="L1023" s="77" t="s">
        <v>160</v>
      </c>
      <c r="M1023" s="78">
        <v>153.01</v>
      </c>
      <c r="N1023" s="79">
        <v>6.2511799999999997</v>
      </c>
      <c r="O1023" s="79">
        <v>15.62828</v>
      </c>
      <c r="P1023" s="79">
        <v>2113.5974000000001</v>
      </c>
      <c r="Q1023" s="77"/>
      <c r="R1023" s="77"/>
      <c r="S1023" s="77"/>
      <c r="T1023" s="77"/>
      <c r="U1023" s="77"/>
      <c r="V1023" s="87"/>
      <c r="W1023" s="87"/>
      <c r="X1023" s="87"/>
      <c r="Y1023" s="77"/>
      <c r="Z1023" s="88"/>
      <c r="AA1023" s="35"/>
      <c r="AB1023" s="35"/>
    </row>
    <row r="1024" spans="1:28" x14ac:dyDescent="0.25">
      <c r="A1024" s="68" t="str">
        <f t="shared" si="48"/>
        <v>305994</v>
      </c>
      <c r="B1024" s="10">
        <f t="shared" si="49"/>
        <v>153.01</v>
      </c>
      <c r="C1024" s="77" t="s">
        <v>5608</v>
      </c>
      <c r="D1024" s="191" t="str">
        <f t="shared" si="47"/>
        <v>V-StrongLumio LED pásek 14,4W/m 24V bílá teplá (284566)</v>
      </c>
      <c r="E1024" s="77" t="s">
        <v>4067</v>
      </c>
      <c r="F1024" s="77" t="s">
        <v>4068</v>
      </c>
      <c r="G1024" s="77" t="s">
        <v>4070</v>
      </c>
      <c r="H1024" s="77" t="s">
        <v>4069</v>
      </c>
      <c r="I1024" s="77" t="s">
        <v>992</v>
      </c>
      <c r="J1024" s="90">
        <v>5</v>
      </c>
      <c r="K1024" s="91">
        <v>0.5</v>
      </c>
      <c r="L1024" s="77" t="s">
        <v>160</v>
      </c>
      <c r="M1024" s="78">
        <v>153.01</v>
      </c>
      <c r="N1024" s="79">
        <v>6.2511799999999997</v>
      </c>
      <c r="O1024" s="79">
        <v>15.170249999999999</v>
      </c>
      <c r="P1024" s="79">
        <v>2113.5974000000001</v>
      </c>
      <c r="Q1024" s="77"/>
      <c r="R1024" s="77"/>
      <c r="S1024" s="77"/>
      <c r="T1024" s="77"/>
      <c r="U1024" s="77"/>
      <c r="V1024" s="87"/>
      <c r="W1024" s="87"/>
      <c r="X1024" s="87"/>
      <c r="Y1024" s="77"/>
      <c r="Z1024" s="88"/>
      <c r="AA1024" s="35"/>
      <c r="AB1024" s="35"/>
    </row>
    <row r="1025" spans="1:28" x14ac:dyDescent="0.25">
      <c r="A1025" s="68" t="str">
        <f t="shared" si="48"/>
        <v>421506</v>
      </c>
      <c r="B1025" s="10">
        <f t="shared" si="49"/>
        <v>186.2784</v>
      </c>
      <c r="C1025" s="77" t="s">
        <v>5609</v>
      </c>
      <c r="D1025" s="191" t="str">
        <f t="shared" si="47"/>
        <v>V-StrongLumio LED pásek 14,4W/m 24V CCT 60 LED/m (405176)</v>
      </c>
      <c r="E1025" s="77" t="s">
        <v>4071</v>
      </c>
      <c r="F1025" s="77" t="s">
        <v>4072</v>
      </c>
      <c r="G1025" s="77" t="s">
        <v>4074</v>
      </c>
      <c r="H1025" s="77" t="s">
        <v>4073</v>
      </c>
      <c r="I1025" s="77" t="s">
        <v>992</v>
      </c>
      <c r="J1025" s="90">
        <v>50</v>
      </c>
      <c r="K1025" s="91">
        <v>0.5</v>
      </c>
      <c r="L1025" s="77" t="s">
        <v>6566</v>
      </c>
      <c r="M1025" s="78">
        <v>186.2784</v>
      </c>
      <c r="N1025" s="79">
        <v>8.2368000000000006</v>
      </c>
      <c r="O1025" s="79">
        <v>31.360199999999999</v>
      </c>
      <c r="P1025" s="79">
        <v>2814.3818200000001</v>
      </c>
      <c r="Q1025" s="77"/>
      <c r="R1025" s="77"/>
      <c r="S1025" s="77"/>
      <c r="T1025" s="77"/>
      <c r="U1025" s="77"/>
      <c r="V1025" s="87"/>
      <c r="W1025" s="87"/>
      <c r="X1025" s="87"/>
      <c r="Y1025" s="77"/>
      <c r="Z1025" s="88"/>
      <c r="AA1025" s="35"/>
      <c r="AB1025" s="35"/>
    </row>
    <row r="1026" spans="1:28" x14ac:dyDescent="0.25">
      <c r="A1026" s="68" t="str">
        <f t="shared" si="48"/>
        <v>376386</v>
      </c>
      <c r="B1026" s="10">
        <f t="shared" si="49"/>
        <v>204.35975999999999</v>
      </c>
      <c r="C1026" s="77" t="s">
        <v>5610</v>
      </c>
      <c r="D1026" s="191" t="str">
        <f t="shared" si="47"/>
        <v>V-StrongLumio LED pásek 14,4W/m 24V CRI90 bílá neutrální 120 LED/m (355850)</v>
      </c>
      <c r="E1026" s="77" t="s">
        <v>4075</v>
      </c>
      <c r="F1026" s="77" t="s">
        <v>4076</v>
      </c>
      <c r="G1026" s="77" t="s">
        <v>4078</v>
      </c>
      <c r="H1026" s="77" t="s">
        <v>4077</v>
      </c>
      <c r="I1026" s="77" t="s">
        <v>992</v>
      </c>
      <c r="J1026" s="90">
        <v>50</v>
      </c>
      <c r="K1026" s="91">
        <v>0.5</v>
      </c>
      <c r="L1026" s="77" t="s">
        <v>160</v>
      </c>
      <c r="M1026" s="78">
        <v>204.35975999999999</v>
      </c>
      <c r="N1026" s="79">
        <v>8.47926</v>
      </c>
      <c r="O1026" s="79">
        <v>26.279890000000002</v>
      </c>
      <c r="P1026" s="79">
        <v>2852.94625</v>
      </c>
      <c r="Q1026" s="77"/>
      <c r="R1026" s="77"/>
      <c r="S1026" s="77"/>
      <c r="T1026" s="77"/>
      <c r="U1026" s="77"/>
      <c r="V1026" s="87"/>
      <c r="W1026" s="87"/>
      <c r="X1026" s="87"/>
      <c r="Y1026" s="77"/>
      <c r="Z1026" s="88"/>
      <c r="AA1026" s="35"/>
      <c r="AB1026" s="35"/>
    </row>
    <row r="1027" spans="1:28" x14ac:dyDescent="0.25">
      <c r="A1027" s="68" t="str">
        <f t="shared" si="48"/>
        <v>376923</v>
      </c>
      <c r="B1027" s="10">
        <f t="shared" si="49"/>
        <v>204.35975999999999</v>
      </c>
      <c r="C1027" s="77" t="s">
        <v>5611</v>
      </c>
      <c r="D1027" s="191" t="str">
        <f t="shared" ref="D1027:D1090" si="50">IF($B$1=1,E1027,IF($B$1=2,F1027,IF($B$1=3,G1027,IF($B$1=4,H1027))))</f>
        <v>V-StrongLumio LED pásek 14,4W/m 24V CRI90 bílá studená 120 LED/m (355851)</v>
      </c>
      <c r="E1027" s="77" t="s">
        <v>4079</v>
      </c>
      <c r="F1027" s="77" t="s">
        <v>4080</v>
      </c>
      <c r="G1027" s="77" t="s">
        <v>4082</v>
      </c>
      <c r="H1027" s="77" t="s">
        <v>4081</v>
      </c>
      <c r="I1027" s="77" t="s">
        <v>992</v>
      </c>
      <c r="J1027" s="90">
        <v>5</v>
      </c>
      <c r="K1027" s="91">
        <v>0.5</v>
      </c>
      <c r="L1027" s="77" t="s">
        <v>160</v>
      </c>
      <c r="M1027" s="78">
        <v>204.35975999999999</v>
      </c>
      <c r="N1027" s="79">
        <v>8.47926</v>
      </c>
      <c r="O1027" s="79">
        <v>46.569560000000003</v>
      </c>
      <c r="P1027" s="79">
        <v>2852.94625</v>
      </c>
      <c r="Q1027" s="77"/>
      <c r="R1027" s="77"/>
      <c r="S1027" s="77"/>
      <c r="T1027" s="77"/>
      <c r="U1027" s="77"/>
      <c r="V1027" s="87"/>
      <c r="W1027" s="87"/>
      <c r="X1027" s="87"/>
      <c r="Y1027" s="77"/>
      <c r="Z1027" s="88"/>
      <c r="AA1027" s="35"/>
      <c r="AB1027" s="35"/>
    </row>
    <row r="1028" spans="1:28" x14ac:dyDescent="0.25">
      <c r="A1028" s="68" t="str">
        <f t="shared" si="48"/>
        <v>376381</v>
      </c>
      <c r="B1028" s="10">
        <f t="shared" si="49"/>
        <v>204.35975999999999</v>
      </c>
      <c r="C1028" s="77" t="s">
        <v>5612</v>
      </c>
      <c r="D1028" s="191" t="str">
        <f t="shared" si="50"/>
        <v>V-StrongLumio LED pásek 14,4W/m 24V CRI90 bílá teplá 120 LED/m (355849)</v>
      </c>
      <c r="E1028" s="77" t="s">
        <v>4083</v>
      </c>
      <c r="F1028" s="77" t="s">
        <v>4084</v>
      </c>
      <c r="G1028" s="77" t="s">
        <v>4086</v>
      </c>
      <c r="H1028" s="77" t="s">
        <v>4085</v>
      </c>
      <c r="I1028" s="77" t="s">
        <v>992</v>
      </c>
      <c r="J1028" s="90">
        <v>50</v>
      </c>
      <c r="K1028" s="91">
        <v>0.1</v>
      </c>
      <c r="L1028" s="77" t="s">
        <v>160</v>
      </c>
      <c r="M1028" s="78">
        <v>204.35975999999999</v>
      </c>
      <c r="N1028" s="79">
        <v>8.47926</v>
      </c>
      <c r="O1028" s="79">
        <v>24.219439999999999</v>
      </c>
      <c r="P1028" s="79">
        <v>0</v>
      </c>
      <c r="Q1028" s="77"/>
      <c r="R1028" s="77"/>
      <c r="S1028" s="77"/>
      <c r="T1028" s="77"/>
      <c r="U1028" s="77"/>
      <c r="V1028" s="87"/>
      <c r="W1028" s="87"/>
      <c r="X1028" s="87"/>
      <c r="Y1028" s="77"/>
      <c r="Z1028" s="88"/>
      <c r="AA1028" s="35"/>
      <c r="AB1028" s="35"/>
    </row>
    <row r="1029" spans="1:28" x14ac:dyDescent="0.25">
      <c r="A1029" s="68" t="str">
        <f t="shared" si="48"/>
        <v>308116</v>
      </c>
      <c r="B1029" s="10">
        <f t="shared" si="49"/>
        <v>137.80799999999999</v>
      </c>
      <c r="C1029" s="77" t="s">
        <v>5613</v>
      </c>
      <c r="D1029" s="191" t="str">
        <f t="shared" si="50"/>
        <v>V-StrongLumio LED pásek 14,4W/m 24V RGB IP20 (284602)</v>
      </c>
      <c r="E1029" s="77" t="s">
        <v>4087</v>
      </c>
      <c r="F1029" s="77" t="s">
        <v>4052</v>
      </c>
      <c r="G1029" s="77" t="s">
        <v>4054</v>
      </c>
      <c r="H1029" s="77" t="s">
        <v>4053</v>
      </c>
      <c r="I1029" s="77" t="s">
        <v>992</v>
      </c>
      <c r="J1029" s="90">
        <v>5</v>
      </c>
      <c r="K1029" s="91">
        <v>0.5</v>
      </c>
      <c r="L1029" s="77" t="s">
        <v>6566</v>
      </c>
      <c r="M1029" s="78">
        <v>137.80799999999999</v>
      </c>
      <c r="N1029" s="79">
        <v>6.0935600000000001</v>
      </c>
      <c r="O1029" s="79">
        <v>29.005739999999999</v>
      </c>
      <c r="P1029" s="79">
        <v>2082.06817</v>
      </c>
      <c r="Q1029" s="77"/>
      <c r="R1029" s="77"/>
      <c r="S1029" s="77"/>
      <c r="T1029" s="77"/>
      <c r="U1029" s="77"/>
      <c r="V1029" s="87"/>
      <c r="W1029" s="87"/>
      <c r="X1029" s="87"/>
      <c r="Y1029" s="77"/>
      <c r="Z1029" s="88"/>
      <c r="AA1029" s="35"/>
      <c r="AB1029" s="35"/>
    </row>
    <row r="1030" spans="1:28" x14ac:dyDescent="0.25">
      <c r="A1030" s="68" t="str">
        <f t="shared" si="48"/>
        <v>363402</v>
      </c>
      <c r="B1030" s="10">
        <f t="shared" si="49"/>
        <v>294.25</v>
      </c>
      <c r="C1030" s="77" t="s">
        <v>5614</v>
      </c>
      <c r="D1030" s="191" t="str">
        <f t="shared" si="50"/>
        <v>V-StrongLumio LED pásek 21,6W/m 24V bílá neutrální 210 LED/m (342534)</v>
      </c>
      <c r="E1030" s="77" t="s">
        <v>4088</v>
      </c>
      <c r="F1030" s="77" t="s">
        <v>4089</v>
      </c>
      <c r="G1030" s="77" t="s">
        <v>4091</v>
      </c>
      <c r="H1030" s="77" t="s">
        <v>4090</v>
      </c>
      <c r="I1030" s="77" t="s">
        <v>992</v>
      </c>
      <c r="J1030" s="90">
        <v>30</v>
      </c>
      <c r="K1030" s="91">
        <v>0.5</v>
      </c>
      <c r="L1030" s="77" t="s">
        <v>160</v>
      </c>
      <c r="M1030" s="78">
        <v>294.25</v>
      </c>
      <c r="N1030" s="79">
        <v>12.02144</v>
      </c>
      <c r="O1030" s="79">
        <v>40.9054</v>
      </c>
      <c r="P1030" s="79">
        <v>4064.6104</v>
      </c>
      <c r="Q1030" s="77"/>
      <c r="R1030" s="77"/>
      <c r="S1030" s="77"/>
      <c r="T1030" s="77"/>
      <c r="U1030" s="77"/>
      <c r="V1030" s="87"/>
      <c r="W1030" s="87"/>
      <c r="X1030" s="87"/>
      <c r="Y1030" s="77"/>
      <c r="Z1030" s="88"/>
      <c r="AA1030" s="35"/>
      <c r="AB1030" s="35"/>
    </row>
    <row r="1031" spans="1:28" x14ac:dyDescent="0.25">
      <c r="A1031" s="68" t="str">
        <f t="shared" si="48"/>
        <v>376926</v>
      </c>
      <c r="B1031" s="10">
        <f t="shared" si="49"/>
        <v>272.47967999999997</v>
      </c>
      <c r="C1031" s="77" t="s">
        <v>5615</v>
      </c>
      <c r="D1031" s="191" t="str">
        <f t="shared" si="50"/>
        <v>V-StrongLumio LED pásek 21,6W/m 24V CRI90 bílá neutrální 210 LED/m</v>
      </c>
      <c r="E1031" s="77" t="s">
        <v>4092</v>
      </c>
      <c r="F1031" s="77" t="s">
        <v>4093</v>
      </c>
      <c r="G1031" s="77" t="s">
        <v>4095</v>
      </c>
      <c r="H1031" s="77" t="s">
        <v>4094</v>
      </c>
      <c r="I1031" s="77" t="s">
        <v>992</v>
      </c>
      <c r="J1031" s="90">
        <v>5</v>
      </c>
      <c r="K1031" s="91">
        <v>0.5</v>
      </c>
      <c r="L1031" s="77" t="s">
        <v>160</v>
      </c>
      <c r="M1031" s="78">
        <v>272.47967999999997</v>
      </c>
      <c r="N1031" s="79">
        <v>11.30565</v>
      </c>
      <c r="O1031" s="79">
        <v>81.304810000000003</v>
      </c>
      <c r="P1031" s="79">
        <v>3803.9283300000002</v>
      </c>
      <c r="Q1031" s="77"/>
      <c r="R1031" s="77"/>
      <c r="S1031" s="77"/>
      <c r="T1031" s="77"/>
      <c r="U1031" s="77"/>
      <c r="V1031" s="87"/>
      <c r="W1031" s="87"/>
      <c r="X1031" s="87"/>
      <c r="Y1031" s="77"/>
      <c r="Z1031" s="88"/>
      <c r="AA1031" s="35"/>
      <c r="AB1031" s="35"/>
    </row>
    <row r="1032" spans="1:28" x14ac:dyDescent="0.25">
      <c r="A1032" s="68" t="str">
        <f t="shared" si="48"/>
        <v>376927</v>
      </c>
      <c r="B1032" s="10">
        <f t="shared" si="49"/>
        <v>69.784000000000006</v>
      </c>
      <c r="C1032" s="77" t="s">
        <v>5616</v>
      </c>
      <c r="D1032" s="191" t="str">
        <f t="shared" si="50"/>
        <v>V-StrongLumio LED pásek 21,6W/m 24V CRI90 bílá studená 210 LED/m (355855)</v>
      </c>
      <c r="E1032" s="77" t="s">
        <v>4096</v>
      </c>
      <c r="F1032" s="77" t="s">
        <v>4097</v>
      </c>
      <c r="G1032" s="77" t="s">
        <v>4099</v>
      </c>
      <c r="H1032" s="77" t="s">
        <v>4098</v>
      </c>
      <c r="I1032" s="77" t="s">
        <v>992</v>
      </c>
      <c r="J1032" s="90">
        <v>5</v>
      </c>
      <c r="K1032" s="91">
        <v>0.01</v>
      </c>
      <c r="L1032" s="77" t="s">
        <v>160</v>
      </c>
      <c r="M1032" s="78">
        <v>69.784000000000006</v>
      </c>
      <c r="N1032" s="79">
        <v>3.1901199999999998</v>
      </c>
      <c r="O1032" s="79">
        <v>36.089129999999997</v>
      </c>
      <c r="P1032" s="79">
        <v>1204.9480599999999</v>
      </c>
      <c r="Q1032" s="77"/>
      <c r="R1032" s="77"/>
      <c r="S1032" s="77"/>
      <c r="T1032" s="77"/>
      <c r="U1032" s="77"/>
      <c r="V1032" s="87"/>
      <c r="W1032" s="87"/>
      <c r="X1032" s="87"/>
      <c r="Y1032" s="77"/>
      <c r="Z1032" s="88"/>
      <c r="AA1032" s="35"/>
      <c r="AB1032" s="35"/>
    </row>
    <row r="1033" spans="1:28" x14ac:dyDescent="0.25">
      <c r="A1033" s="68" t="str">
        <f t="shared" si="48"/>
        <v>376925</v>
      </c>
      <c r="B1033" s="10">
        <f t="shared" si="49"/>
        <v>0</v>
      </c>
      <c r="C1033" s="77" t="s">
        <v>5617</v>
      </c>
      <c r="D1033" s="191" t="str">
        <f t="shared" si="50"/>
        <v>V-StrongLumio LED pásek 21,6W/m 24V CRI90 bílá teplá 210 LED/m</v>
      </c>
      <c r="E1033" s="77" t="s">
        <v>4100</v>
      </c>
      <c r="F1033" s="77" t="s">
        <v>4101</v>
      </c>
      <c r="G1033" s="77" t="s">
        <v>4103</v>
      </c>
      <c r="H1033" s="77" t="s">
        <v>4102</v>
      </c>
      <c r="I1033" s="77" t="s">
        <v>992</v>
      </c>
      <c r="J1033" s="90">
        <v>50</v>
      </c>
      <c r="K1033" s="91">
        <v>0.5</v>
      </c>
      <c r="L1033" s="77" t="s">
        <v>160</v>
      </c>
      <c r="M1033" s="78">
        <v>0</v>
      </c>
      <c r="N1033" s="79">
        <v>0</v>
      </c>
      <c r="O1033" s="79">
        <v>47.77037</v>
      </c>
      <c r="P1033" s="79">
        <v>0</v>
      </c>
      <c r="Q1033" s="77"/>
      <c r="R1033" s="77"/>
      <c r="S1033" s="77"/>
      <c r="T1033" s="77"/>
      <c r="U1033" s="77"/>
      <c r="V1033" s="87"/>
      <c r="W1033" s="87"/>
      <c r="X1033" s="87"/>
      <c r="Y1033" s="77"/>
      <c r="Z1033" s="88"/>
      <c r="AA1033" s="35"/>
      <c r="AB1033" s="35"/>
    </row>
    <row r="1034" spans="1:28" x14ac:dyDescent="0.25">
      <c r="A1034" s="68" t="str">
        <f t="shared" si="48"/>
        <v>553358</v>
      </c>
      <c r="B1034" s="10">
        <f t="shared" si="49"/>
        <v>282.53016000000002</v>
      </c>
      <c r="C1034" s="77" t="s">
        <v>5618</v>
      </c>
      <c r="D1034" s="191" t="str">
        <f t="shared" si="50"/>
        <v>V-StrongLumio LED pásek 24V 12W/m (160 LED/m) 8mm, bílá neutrální (544701)</v>
      </c>
      <c r="E1034" s="77" t="s">
        <v>4104</v>
      </c>
      <c r="F1034" s="77" t="s">
        <v>625</v>
      </c>
      <c r="G1034" s="77" t="s">
        <v>626</v>
      </c>
      <c r="H1034" s="77" t="s">
        <v>627</v>
      </c>
      <c r="I1034" s="77" t="s">
        <v>992</v>
      </c>
      <c r="J1034" s="90">
        <v>50</v>
      </c>
      <c r="K1034" s="91">
        <v>0.5</v>
      </c>
      <c r="L1034" s="77" t="s">
        <v>6566</v>
      </c>
      <c r="M1034" s="78">
        <v>282.53016000000002</v>
      </c>
      <c r="N1034" s="79">
        <v>11.34271</v>
      </c>
      <c r="O1034" s="79">
        <v>0</v>
      </c>
      <c r="P1034" s="79">
        <v>0</v>
      </c>
      <c r="Q1034" s="77"/>
      <c r="R1034" s="77"/>
      <c r="S1034" s="77"/>
      <c r="T1034" s="77"/>
      <c r="U1034" s="77"/>
      <c r="V1034" s="87"/>
      <c r="W1034" s="87"/>
      <c r="X1034" s="87"/>
      <c r="Y1034" s="77"/>
      <c r="Z1034" s="88"/>
      <c r="AA1034" s="35"/>
      <c r="AB1034" s="35"/>
    </row>
    <row r="1035" spans="1:28" x14ac:dyDescent="0.25">
      <c r="A1035" s="68" t="str">
        <f t="shared" si="48"/>
        <v>553359</v>
      </c>
      <c r="B1035" s="10">
        <f t="shared" si="49"/>
        <v>398.66904</v>
      </c>
      <c r="C1035" s="77" t="s">
        <v>5619</v>
      </c>
      <c r="D1035" s="191" t="str">
        <f t="shared" si="50"/>
        <v>V-StrongLumio LED pásek 24V 20W/m(240 LED/m) 10mm, bílá neutrální (544704)</v>
      </c>
      <c r="E1035" s="77" t="s">
        <v>4105</v>
      </c>
      <c r="F1035" s="77" t="s">
        <v>630</v>
      </c>
      <c r="G1035" s="77" t="s">
        <v>794</v>
      </c>
      <c r="H1035" s="77" t="s">
        <v>794</v>
      </c>
      <c r="I1035" s="77" t="s">
        <v>992</v>
      </c>
      <c r="J1035" s="90">
        <v>50</v>
      </c>
      <c r="K1035" s="91">
        <v>0.5</v>
      </c>
      <c r="L1035" s="77" t="s">
        <v>6566</v>
      </c>
      <c r="M1035" s="78">
        <v>398.66904</v>
      </c>
      <c r="N1035" s="79">
        <v>16.005289999999999</v>
      </c>
      <c r="O1035" s="79">
        <v>0</v>
      </c>
      <c r="P1035" s="79">
        <v>0</v>
      </c>
      <c r="Q1035" s="77"/>
      <c r="R1035" s="77"/>
      <c r="S1035" s="77"/>
      <c r="T1035" s="77"/>
      <c r="U1035" s="77"/>
      <c r="V1035" s="87"/>
      <c r="W1035" s="87"/>
      <c r="X1035" s="87"/>
      <c r="Y1035" s="77"/>
      <c r="Z1035" s="88"/>
      <c r="AA1035" s="35"/>
      <c r="AB1035" s="35"/>
    </row>
    <row r="1036" spans="1:28" x14ac:dyDescent="0.25">
      <c r="A1036" s="68" t="str">
        <f t="shared" si="48"/>
        <v>488108</v>
      </c>
      <c r="B1036" s="10">
        <f t="shared" si="49"/>
        <v>353.80799999999999</v>
      </c>
      <c r="C1036" s="77" t="s">
        <v>5620</v>
      </c>
      <c r="D1036" s="191" t="str">
        <f t="shared" si="50"/>
        <v>V-StrongLumio LED pásek 24V 5v1 14,4W/m (60 LED/m) RGBCCT (472112)</v>
      </c>
      <c r="E1036" s="77" t="s">
        <v>4106</v>
      </c>
      <c r="F1036" s="77" t="s">
        <v>4107</v>
      </c>
      <c r="G1036" s="77" t="s">
        <v>4108</v>
      </c>
      <c r="H1036" s="77" t="s">
        <v>794</v>
      </c>
      <c r="I1036" s="77" t="s">
        <v>992</v>
      </c>
      <c r="J1036" s="90">
        <v>100</v>
      </c>
      <c r="K1036" s="91">
        <v>0.5</v>
      </c>
      <c r="L1036" s="77" t="s">
        <v>6566</v>
      </c>
      <c r="M1036" s="78">
        <v>353.80799999999999</v>
      </c>
      <c r="N1036" s="79">
        <v>15.21285</v>
      </c>
      <c r="O1036" s="79">
        <v>61.14573</v>
      </c>
      <c r="P1036" s="79">
        <v>5197.9909100000004</v>
      </c>
      <c r="Q1036" s="77"/>
      <c r="R1036" s="77"/>
      <c r="S1036" s="77"/>
      <c r="T1036" s="77"/>
      <c r="U1036" s="77"/>
      <c r="V1036" s="87"/>
      <c r="W1036" s="87"/>
      <c r="X1036" s="87"/>
      <c r="Y1036" s="77"/>
      <c r="Z1036" s="88"/>
      <c r="AA1036" s="35"/>
      <c r="AB1036" s="35"/>
    </row>
    <row r="1037" spans="1:28" x14ac:dyDescent="0.25">
      <c r="A1037" s="68" t="str">
        <f t="shared" si="48"/>
        <v>502133</v>
      </c>
      <c r="B1037" s="10">
        <f t="shared" si="49"/>
        <v>141.24</v>
      </c>
      <c r="C1037" s="77" t="s">
        <v>5622</v>
      </c>
      <c r="D1037" s="191" t="str">
        <f t="shared" si="50"/>
        <v>V-StrongLumio LED pásek 24V COB 12W/m (480 LED/m) - 8mm - studená bílá (491416)</v>
      </c>
      <c r="E1037" s="77" t="s">
        <v>4109</v>
      </c>
      <c r="F1037" s="77" t="s">
        <v>4110</v>
      </c>
      <c r="G1037" s="77" t="s">
        <v>4112</v>
      </c>
      <c r="H1037" s="77" t="s">
        <v>4111</v>
      </c>
      <c r="I1037" s="77" t="s">
        <v>992</v>
      </c>
      <c r="J1037" s="90">
        <v>50</v>
      </c>
      <c r="K1037" s="91">
        <v>0.1</v>
      </c>
      <c r="L1037" s="77" t="s">
        <v>6566</v>
      </c>
      <c r="M1037" s="78">
        <v>141.24</v>
      </c>
      <c r="N1037" s="79">
        <v>5.7702600000000004</v>
      </c>
      <c r="O1037" s="79">
        <v>14.223649999999999</v>
      </c>
      <c r="P1037" s="79">
        <v>1870.78442</v>
      </c>
      <c r="Q1037" s="77"/>
      <c r="R1037" s="77"/>
      <c r="S1037" s="77"/>
      <c r="T1037" s="77"/>
      <c r="U1037" s="77"/>
      <c r="V1037" s="87"/>
      <c r="W1037" s="87"/>
      <c r="X1037" s="87"/>
      <c r="Y1037" s="77"/>
      <c r="Z1037" s="88"/>
      <c r="AA1037" s="35"/>
      <c r="AB1037" s="35"/>
    </row>
    <row r="1038" spans="1:28" x14ac:dyDescent="0.25">
      <c r="A1038" s="68" t="str">
        <f t="shared" si="48"/>
        <v>502132</v>
      </c>
      <c r="B1038" s="10">
        <f t="shared" si="49"/>
        <v>141.24</v>
      </c>
      <c r="C1038" s="77" t="s">
        <v>5623</v>
      </c>
      <c r="D1038" s="191" t="str">
        <f t="shared" si="50"/>
        <v>V-StrongLumio LED pásek 24V COB 12W/m (480 LED/m) - 8mm - teplá bílá (491417)</v>
      </c>
      <c r="E1038" s="77" t="s">
        <v>4113</v>
      </c>
      <c r="F1038" s="77" t="s">
        <v>4114</v>
      </c>
      <c r="G1038" s="77" t="s">
        <v>4116</v>
      </c>
      <c r="H1038" s="77" t="s">
        <v>4115</v>
      </c>
      <c r="I1038" s="77" t="s">
        <v>992</v>
      </c>
      <c r="J1038" s="90">
        <v>50</v>
      </c>
      <c r="K1038" s="91">
        <v>0.05</v>
      </c>
      <c r="L1038" s="77" t="s">
        <v>6566</v>
      </c>
      <c r="M1038" s="78">
        <v>141.24</v>
      </c>
      <c r="N1038" s="79">
        <v>5.7702600000000004</v>
      </c>
      <c r="O1038" s="79">
        <v>13.58863</v>
      </c>
      <c r="P1038" s="79">
        <v>1870.78442</v>
      </c>
      <c r="Q1038" s="77"/>
      <c r="R1038" s="77"/>
      <c r="S1038" s="77"/>
      <c r="T1038" s="77"/>
      <c r="U1038" s="77"/>
      <c r="V1038" s="87"/>
      <c r="W1038" s="87"/>
      <c r="X1038" s="87"/>
      <c r="Y1038" s="77"/>
      <c r="Z1038" s="88"/>
      <c r="AA1038" s="35"/>
      <c r="AB1038" s="35"/>
    </row>
    <row r="1039" spans="1:28" x14ac:dyDescent="0.25">
      <c r="A1039" s="68" t="str">
        <f t="shared" si="48"/>
        <v>505227</v>
      </c>
      <c r="B1039" s="10">
        <f t="shared" si="49"/>
        <v>136.10400000000001</v>
      </c>
      <c r="C1039" s="77" t="s">
        <v>5624</v>
      </c>
      <c r="D1039" s="191" t="str">
        <f t="shared" si="50"/>
        <v>V-StrongLumio LED pásek 24V COB 12W/m (480 LED/m) -8mm - neutrální bílá (491405)</v>
      </c>
      <c r="E1039" s="77" t="s">
        <v>4117</v>
      </c>
      <c r="F1039" s="77" t="s">
        <v>4118</v>
      </c>
      <c r="G1039" s="77" t="s">
        <v>4120</v>
      </c>
      <c r="H1039" s="77" t="s">
        <v>4119</v>
      </c>
      <c r="I1039" s="77" t="s">
        <v>992</v>
      </c>
      <c r="J1039" s="90">
        <v>50</v>
      </c>
      <c r="K1039" s="91">
        <v>0.1</v>
      </c>
      <c r="L1039" s="77" t="s">
        <v>6566</v>
      </c>
      <c r="M1039" s="78">
        <v>136.10400000000001</v>
      </c>
      <c r="N1039" s="79">
        <v>5.7702600000000004</v>
      </c>
      <c r="O1039" s="79">
        <v>12.97635</v>
      </c>
      <c r="P1039" s="79">
        <v>1870.78442</v>
      </c>
      <c r="Q1039" s="77"/>
      <c r="R1039" s="77"/>
      <c r="S1039" s="77"/>
      <c r="T1039" s="77"/>
      <c r="U1039" s="77"/>
      <c r="V1039" s="87"/>
      <c r="W1039" s="87"/>
      <c r="X1039" s="87"/>
      <c r="Y1039" s="77"/>
      <c r="Z1039" s="88"/>
      <c r="AA1039" s="35"/>
      <c r="AB1039" s="35"/>
    </row>
    <row r="1040" spans="1:28" x14ac:dyDescent="0.25">
      <c r="A1040" s="68" t="str">
        <f t="shared" si="48"/>
        <v>487127</v>
      </c>
      <c r="B1040" s="10">
        <f t="shared" si="49"/>
        <v>223.34399999999999</v>
      </c>
      <c r="C1040" s="77" t="s">
        <v>5625</v>
      </c>
      <c r="D1040" s="191" t="str">
        <f t="shared" si="50"/>
        <v>V-StrongLumio LED pásek 24V COB 14W/m (512 LED/m) - 10mm - studená bílá (472107)</v>
      </c>
      <c r="E1040" s="77" t="s">
        <v>4121</v>
      </c>
      <c r="F1040" s="77" t="s">
        <v>4122</v>
      </c>
      <c r="G1040" s="77" t="s">
        <v>4123</v>
      </c>
      <c r="H1040" s="77" t="s">
        <v>794</v>
      </c>
      <c r="I1040" s="77" t="s">
        <v>992</v>
      </c>
      <c r="J1040" s="90">
        <v>100</v>
      </c>
      <c r="K1040" s="91">
        <v>0.5</v>
      </c>
      <c r="L1040" s="77" t="s">
        <v>6566</v>
      </c>
      <c r="M1040" s="78">
        <v>223.34399999999999</v>
      </c>
      <c r="N1040" s="79">
        <v>6.27658</v>
      </c>
      <c r="O1040" s="79">
        <v>28.344000000000001</v>
      </c>
      <c r="P1040" s="79">
        <v>3117.9740200000001</v>
      </c>
      <c r="Q1040" s="77"/>
      <c r="R1040" s="77"/>
      <c r="S1040" s="77"/>
      <c r="T1040" s="77"/>
      <c r="U1040" s="77"/>
      <c r="V1040" s="87"/>
      <c r="W1040" s="87"/>
      <c r="X1040" s="87"/>
      <c r="Y1040" s="77"/>
      <c r="Z1040" s="88"/>
      <c r="AA1040" s="35"/>
      <c r="AB1040" s="35"/>
    </row>
    <row r="1041" spans="1:28" x14ac:dyDescent="0.25">
      <c r="A1041" s="68" t="str">
        <f t="shared" si="48"/>
        <v>488105</v>
      </c>
      <c r="B1041" s="10">
        <f t="shared" si="49"/>
        <v>154.41192000000001</v>
      </c>
      <c r="C1041" s="77" t="s">
        <v>5626</v>
      </c>
      <c r="D1041" s="191" t="str">
        <f t="shared" si="50"/>
        <v>V-StrongLumio LED pásek 24V COB 14W/m (512 LED/m) - 10mm - teplá bílá (472109)</v>
      </c>
      <c r="E1041" s="77" t="s">
        <v>4124</v>
      </c>
      <c r="F1041" s="77" t="s">
        <v>4125</v>
      </c>
      <c r="G1041" s="77" t="s">
        <v>4126</v>
      </c>
      <c r="H1041" s="77" t="s">
        <v>794</v>
      </c>
      <c r="I1041" s="77" t="s">
        <v>992</v>
      </c>
      <c r="J1041" s="90">
        <v>50</v>
      </c>
      <c r="K1041" s="91">
        <v>0.5</v>
      </c>
      <c r="L1041" s="77" t="s">
        <v>6566</v>
      </c>
      <c r="M1041" s="78">
        <v>154.41192000000001</v>
      </c>
      <c r="N1041" s="79">
        <v>6.27658</v>
      </c>
      <c r="O1041" s="79">
        <v>25.013349999999999</v>
      </c>
      <c r="P1041" s="79">
        <v>3117.9740200000001</v>
      </c>
      <c r="Q1041" s="77"/>
      <c r="R1041" s="77"/>
      <c r="S1041" s="77"/>
      <c r="T1041" s="77"/>
      <c r="U1041" s="77"/>
      <c r="V1041" s="87"/>
      <c r="W1041" s="87"/>
      <c r="X1041" s="87"/>
      <c r="Y1041" s="77"/>
      <c r="Z1041" s="88"/>
      <c r="AA1041" s="35"/>
      <c r="AB1041" s="35"/>
    </row>
    <row r="1042" spans="1:28" x14ac:dyDescent="0.25">
      <c r="A1042" s="68" t="str">
        <f t="shared" si="48"/>
        <v>488103</v>
      </c>
      <c r="B1042" s="10">
        <f t="shared" si="49"/>
        <v>154.20887999999999</v>
      </c>
      <c r="C1042" s="77" t="s">
        <v>5627</v>
      </c>
      <c r="D1042" s="191" t="str">
        <f t="shared" si="50"/>
        <v>V-StrongLumio LED pásek 24V COB 14W/m (512 LED/m) -10mm- neutrální bílá (472108)</v>
      </c>
      <c r="E1042" s="77" t="s">
        <v>4127</v>
      </c>
      <c r="F1042" s="77" t="s">
        <v>4128</v>
      </c>
      <c r="G1042" s="77" t="s">
        <v>4129</v>
      </c>
      <c r="H1042" s="77" t="s">
        <v>794</v>
      </c>
      <c r="I1042" s="77" t="s">
        <v>992</v>
      </c>
      <c r="J1042" s="90">
        <v>50</v>
      </c>
      <c r="K1042" s="91">
        <v>0.5</v>
      </c>
      <c r="L1042" s="77" t="s">
        <v>6566</v>
      </c>
      <c r="M1042" s="78">
        <v>154.20887999999999</v>
      </c>
      <c r="N1042" s="79">
        <v>6.27658</v>
      </c>
      <c r="O1042" s="79">
        <v>18.372479999999999</v>
      </c>
      <c r="P1042" s="79">
        <v>3117.9740200000001</v>
      </c>
      <c r="Q1042" s="77"/>
      <c r="R1042" s="77"/>
      <c r="S1042" s="77"/>
      <c r="T1042" s="77"/>
      <c r="U1042" s="77"/>
      <c r="V1042" s="87"/>
      <c r="W1042" s="87"/>
      <c r="X1042" s="87"/>
      <c r="Y1042" s="77"/>
      <c r="Z1042" s="88"/>
      <c r="AA1042" s="35"/>
      <c r="AB1042" s="35"/>
    </row>
    <row r="1043" spans="1:28" x14ac:dyDescent="0.25">
      <c r="A1043" s="68" t="str">
        <f t="shared" si="48"/>
        <v>488107</v>
      </c>
      <c r="B1043" s="10">
        <f t="shared" si="49"/>
        <v>323.48160000000001</v>
      </c>
      <c r="C1043" s="77" t="s">
        <v>5628</v>
      </c>
      <c r="D1043" s="191" t="str">
        <f t="shared" si="50"/>
        <v>V-StrongLumio LED pásek 24V COB 15W/m (840 LED/m) RGB (472111)</v>
      </c>
      <c r="E1043" s="77" t="s">
        <v>4130</v>
      </c>
      <c r="F1043" s="77" t="s">
        <v>4131</v>
      </c>
      <c r="G1043" s="77" t="s">
        <v>4132</v>
      </c>
      <c r="H1043" s="77" t="s">
        <v>794</v>
      </c>
      <c r="I1043" s="77" t="s">
        <v>992</v>
      </c>
      <c r="J1043" s="90">
        <v>100</v>
      </c>
      <c r="K1043" s="91">
        <v>0.5</v>
      </c>
      <c r="L1043" s="77" t="s">
        <v>6566</v>
      </c>
      <c r="M1043" s="78">
        <v>323.48160000000001</v>
      </c>
      <c r="N1043" s="79">
        <v>13.01196</v>
      </c>
      <c r="O1043" s="79">
        <v>48.866280000000003</v>
      </c>
      <c r="P1043" s="79">
        <v>8974.4318299999995</v>
      </c>
      <c r="Q1043" s="77"/>
      <c r="R1043" s="77"/>
      <c r="S1043" s="77"/>
      <c r="T1043" s="77"/>
      <c r="U1043" s="77"/>
      <c r="V1043" s="87"/>
      <c r="W1043" s="87"/>
      <c r="X1043" s="87"/>
      <c r="Y1043" s="77"/>
      <c r="Z1043" s="88"/>
      <c r="AA1043" s="35"/>
      <c r="AB1043" s="35"/>
    </row>
    <row r="1044" spans="1:28" x14ac:dyDescent="0.25">
      <c r="A1044" s="68" t="str">
        <f t="shared" si="48"/>
        <v>488106</v>
      </c>
      <c r="B1044" s="10">
        <f t="shared" si="49"/>
        <v>285.12</v>
      </c>
      <c r="C1044" s="77" t="s">
        <v>5629</v>
      </c>
      <c r="D1044" s="191" t="str">
        <f t="shared" si="50"/>
        <v>V-StrongLumio LED pásek 24V COB 22W/m (608 LED/m) - 10mm - CCT (472110)</v>
      </c>
      <c r="E1044" s="77" t="s">
        <v>4133</v>
      </c>
      <c r="F1044" s="77" t="s">
        <v>4134</v>
      </c>
      <c r="G1044" s="77" t="s">
        <v>4136</v>
      </c>
      <c r="H1044" s="77" t="s">
        <v>4135</v>
      </c>
      <c r="I1044" s="77" t="s">
        <v>992</v>
      </c>
      <c r="J1044" s="90">
        <v>100</v>
      </c>
      <c r="K1044" s="91">
        <v>0.5</v>
      </c>
      <c r="L1044" s="77" t="s">
        <v>6566</v>
      </c>
      <c r="M1044" s="78">
        <v>285.12</v>
      </c>
      <c r="N1044" s="79">
        <v>12.60737</v>
      </c>
      <c r="O1044" s="79">
        <v>27.08925</v>
      </c>
      <c r="P1044" s="79">
        <v>4307.7272700000003</v>
      </c>
      <c r="Q1044" s="77"/>
      <c r="R1044" s="77"/>
      <c r="S1044" s="77"/>
      <c r="T1044" s="77"/>
      <c r="U1044" s="77"/>
      <c r="V1044" s="87"/>
      <c r="W1044" s="87"/>
      <c r="X1044" s="87"/>
      <c r="Y1044" s="77"/>
      <c r="Z1044" s="88"/>
      <c r="AA1044" s="35"/>
      <c r="AB1044" s="35"/>
    </row>
    <row r="1045" spans="1:28" x14ac:dyDescent="0.25">
      <c r="A1045" s="68" t="str">
        <f t="shared" si="48"/>
        <v>549849</v>
      </c>
      <c r="B1045" s="10">
        <f t="shared" si="49"/>
        <v>84.870720000000006</v>
      </c>
      <c r="C1045" s="77" t="s">
        <v>5630</v>
      </c>
      <c r="D1045" s="191" t="str">
        <f t="shared" si="50"/>
        <v>V-StrongLumio LED pásek 24V COB 8W/m (320 LED/m) 5mm, bílá neutrální (544585)</v>
      </c>
      <c r="E1045" s="77" t="s">
        <v>4137</v>
      </c>
      <c r="F1045" s="77" t="s">
        <v>4138</v>
      </c>
      <c r="G1045" s="77" t="s">
        <v>4140</v>
      </c>
      <c r="H1045" s="77" t="s">
        <v>4139</v>
      </c>
      <c r="I1045" s="77" t="s">
        <v>992</v>
      </c>
      <c r="J1045" s="90">
        <v>50</v>
      </c>
      <c r="K1045" s="91">
        <v>1</v>
      </c>
      <c r="L1045" s="77" t="s">
        <v>6566</v>
      </c>
      <c r="M1045" s="78">
        <v>84.870720000000006</v>
      </c>
      <c r="N1045" s="79">
        <v>3.4073199999999999</v>
      </c>
      <c r="O1045" s="79">
        <v>0</v>
      </c>
      <c r="P1045" s="79">
        <v>0</v>
      </c>
      <c r="Q1045" s="77"/>
      <c r="R1045" s="77"/>
      <c r="S1045" s="77"/>
      <c r="T1045" s="77"/>
      <c r="U1045" s="77"/>
      <c r="V1045" s="87"/>
      <c r="W1045" s="87"/>
      <c r="X1045" s="87"/>
      <c r="Y1045" s="77"/>
      <c r="Z1045" s="88"/>
      <c r="AA1045" s="35"/>
      <c r="AB1045" s="35"/>
    </row>
    <row r="1046" spans="1:28" x14ac:dyDescent="0.25">
      <c r="A1046" s="68" t="str">
        <f t="shared" si="48"/>
        <v>416263</v>
      </c>
      <c r="B1046" s="10">
        <f t="shared" si="49"/>
        <v>329.56</v>
      </c>
      <c r="C1046" s="77" t="s">
        <v>5631</v>
      </c>
      <c r="D1046" s="191" t="str">
        <f t="shared" si="50"/>
        <v>V-StrongLumio LED pásek 26W/m 24V bílá studená 304 LED/m (405361)</v>
      </c>
      <c r="E1046" s="77" t="s">
        <v>4141</v>
      </c>
      <c r="F1046" s="77" t="s">
        <v>4142</v>
      </c>
      <c r="G1046" s="77" t="s">
        <v>4144</v>
      </c>
      <c r="H1046" s="77" t="s">
        <v>4143</v>
      </c>
      <c r="I1046" s="77" t="s">
        <v>992</v>
      </c>
      <c r="J1046" s="90">
        <v>5</v>
      </c>
      <c r="K1046" s="91">
        <v>0.01</v>
      </c>
      <c r="L1046" s="77" t="s">
        <v>160</v>
      </c>
      <c r="M1046" s="78">
        <v>329.56</v>
      </c>
      <c r="N1046" s="79">
        <v>13.46405</v>
      </c>
      <c r="O1046" s="79">
        <v>35.763330000000003</v>
      </c>
      <c r="P1046" s="79">
        <v>4552.3636399999996</v>
      </c>
      <c r="Q1046" s="77"/>
      <c r="R1046" s="77"/>
      <c r="S1046" s="77"/>
      <c r="T1046" s="77"/>
      <c r="U1046" s="77"/>
      <c r="V1046" s="87"/>
      <c r="W1046" s="87"/>
      <c r="X1046" s="87"/>
      <c r="Y1046" s="77"/>
      <c r="Z1046" s="88"/>
      <c r="AA1046" s="35"/>
      <c r="AB1046" s="35"/>
    </row>
    <row r="1047" spans="1:28" x14ac:dyDescent="0.25">
      <c r="A1047" s="68" t="str">
        <f t="shared" si="48"/>
        <v>465038</v>
      </c>
      <c r="B1047" s="10">
        <f t="shared" si="49"/>
        <v>329.56</v>
      </c>
      <c r="C1047" s="77" t="s">
        <v>5632</v>
      </c>
      <c r="D1047" s="191" t="str">
        <f t="shared" si="50"/>
        <v>V-StrongLumio LED pásek 26W/m 24V bílá teplá 304 LED/m (405359)</v>
      </c>
      <c r="E1047" s="77" t="s">
        <v>4145</v>
      </c>
      <c r="F1047" s="77" t="s">
        <v>4146</v>
      </c>
      <c r="G1047" s="77" t="s">
        <v>794</v>
      </c>
      <c r="H1047" s="77" t="s">
        <v>4147</v>
      </c>
      <c r="I1047" s="77" t="s">
        <v>992</v>
      </c>
      <c r="J1047" s="90">
        <v>5</v>
      </c>
      <c r="K1047" s="91">
        <v>0.5</v>
      </c>
      <c r="L1047" s="77" t="s">
        <v>160</v>
      </c>
      <c r="M1047" s="78">
        <v>329.56</v>
      </c>
      <c r="N1047" s="79">
        <v>13.46405</v>
      </c>
      <c r="O1047" s="79">
        <v>44.803780000000003</v>
      </c>
      <c r="P1047" s="79">
        <v>4552.3636399999996</v>
      </c>
      <c r="Q1047" s="77"/>
      <c r="R1047" s="77"/>
      <c r="S1047" s="77"/>
      <c r="T1047" s="77"/>
      <c r="U1047" s="77"/>
      <c r="V1047" s="87"/>
      <c r="W1047" s="87"/>
      <c r="X1047" s="87"/>
      <c r="Y1047" s="77"/>
      <c r="Z1047" s="88"/>
      <c r="AA1047" s="35"/>
      <c r="AB1047" s="35"/>
    </row>
    <row r="1048" spans="1:28" x14ac:dyDescent="0.25">
      <c r="A1048" s="68" t="str">
        <f t="shared" si="48"/>
        <v>259824</v>
      </c>
      <c r="B1048" s="10">
        <f t="shared" si="49"/>
        <v>106.48</v>
      </c>
      <c r="C1048" s="77" t="s">
        <v>5633</v>
      </c>
      <c r="D1048" s="191" t="str">
        <f t="shared" si="50"/>
        <v>V-StrongLumio LED pásek 4,8W/m 12V bílá neutrální (249934)</v>
      </c>
      <c r="E1048" s="77" t="s">
        <v>4148</v>
      </c>
      <c r="F1048" s="77" t="s">
        <v>4149</v>
      </c>
      <c r="G1048" s="77" t="s">
        <v>4151</v>
      </c>
      <c r="H1048" s="77" t="s">
        <v>4150</v>
      </c>
      <c r="I1048" s="77" t="s">
        <v>992</v>
      </c>
      <c r="J1048" s="90">
        <v>30</v>
      </c>
      <c r="K1048" s="91">
        <v>0.5</v>
      </c>
      <c r="L1048" s="77" t="s">
        <v>6566</v>
      </c>
      <c r="M1048" s="78">
        <v>106.48</v>
      </c>
      <c r="N1048" s="79">
        <v>4.3381800000000004</v>
      </c>
      <c r="O1048" s="79">
        <v>6.0263299999999997</v>
      </c>
      <c r="P1048" s="79">
        <v>1287.0000199999999</v>
      </c>
      <c r="Q1048" s="77"/>
      <c r="R1048" s="77"/>
      <c r="S1048" s="77"/>
      <c r="T1048" s="77"/>
      <c r="U1048" s="77"/>
      <c r="V1048" s="87"/>
      <c r="W1048" s="87"/>
      <c r="X1048" s="87"/>
      <c r="Y1048" s="77"/>
      <c r="Z1048" s="88"/>
      <c r="AA1048" s="35"/>
      <c r="AB1048" s="35"/>
    </row>
    <row r="1049" spans="1:28" x14ac:dyDescent="0.25">
      <c r="A1049" s="68" t="str">
        <f t="shared" si="48"/>
        <v>208179</v>
      </c>
      <c r="B1049" s="10">
        <f t="shared" si="49"/>
        <v>106.48</v>
      </c>
      <c r="C1049" s="77" t="s">
        <v>5634</v>
      </c>
      <c r="D1049" s="191" t="str">
        <f t="shared" si="50"/>
        <v>V-StrongLumio LED pásek 4,8W/m 12V bílá studená (131573)</v>
      </c>
      <c r="E1049" s="77" t="s">
        <v>4152</v>
      </c>
      <c r="F1049" s="77" t="s">
        <v>4153</v>
      </c>
      <c r="G1049" s="77" t="s">
        <v>4155</v>
      </c>
      <c r="H1049" s="77" t="s">
        <v>4154</v>
      </c>
      <c r="I1049" s="77" t="s">
        <v>992</v>
      </c>
      <c r="J1049" s="90">
        <v>30</v>
      </c>
      <c r="K1049" s="91">
        <v>0.5</v>
      </c>
      <c r="L1049" s="77" t="s">
        <v>6566</v>
      </c>
      <c r="M1049" s="78">
        <v>106.48</v>
      </c>
      <c r="N1049" s="79">
        <v>4.3381800000000004</v>
      </c>
      <c r="O1049" s="79">
        <v>7.4915399999999996</v>
      </c>
      <c r="P1049" s="79">
        <v>1287.0000199999999</v>
      </c>
      <c r="Q1049" s="77"/>
      <c r="R1049" s="77"/>
      <c r="S1049" s="77"/>
      <c r="T1049" s="77"/>
      <c r="U1049" s="77"/>
      <c r="V1049" s="87"/>
      <c r="W1049" s="87"/>
      <c r="X1049" s="87"/>
      <c r="Y1049" s="77"/>
      <c r="Z1049" s="88"/>
      <c r="AA1049" s="35"/>
      <c r="AB1049" s="35"/>
    </row>
    <row r="1050" spans="1:28" x14ac:dyDescent="0.25">
      <c r="A1050" s="68" t="str">
        <f t="shared" si="48"/>
        <v>208183</v>
      </c>
      <c r="B1050" s="10">
        <f t="shared" si="49"/>
        <v>104.06</v>
      </c>
      <c r="C1050" s="77" t="s">
        <v>5635</v>
      </c>
      <c r="D1050" s="191" t="str">
        <f t="shared" si="50"/>
        <v>V-StrongLumio LED pásek 4,8W/m 12V bílá teplá (132251)</v>
      </c>
      <c r="E1050" s="77" t="s">
        <v>4156</v>
      </c>
      <c r="F1050" s="77" t="s">
        <v>4157</v>
      </c>
      <c r="G1050" s="77" t="s">
        <v>4159</v>
      </c>
      <c r="H1050" s="77" t="s">
        <v>4158</v>
      </c>
      <c r="I1050" s="77" t="s">
        <v>992</v>
      </c>
      <c r="J1050" s="90">
        <v>30</v>
      </c>
      <c r="K1050" s="91">
        <v>0.5</v>
      </c>
      <c r="L1050" s="77" t="s">
        <v>6566</v>
      </c>
      <c r="M1050" s="78">
        <v>104.06</v>
      </c>
      <c r="N1050" s="79">
        <v>4.2396799999999999</v>
      </c>
      <c r="O1050" s="79">
        <v>5.5228999999999999</v>
      </c>
      <c r="P1050" s="79">
        <v>1257.74999</v>
      </c>
      <c r="Q1050" s="77"/>
      <c r="R1050" s="77"/>
      <c r="S1050" s="77"/>
      <c r="T1050" s="77"/>
      <c r="U1050" s="77"/>
      <c r="V1050" s="87"/>
      <c r="W1050" s="87"/>
      <c r="X1050" s="87"/>
      <c r="Y1050" s="77"/>
      <c r="Z1050" s="88"/>
      <c r="AA1050" s="35"/>
      <c r="AB1050" s="35"/>
    </row>
    <row r="1051" spans="1:28" x14ac:dyDescent="0.25">
      <c r="A1051" s="68" t="str">
        <f t="shared" si="48"/>
        <v>208182</v>
      </c>
      <c r="B1051" s="10">
        <f t="shared" si="49"/>
        <v>167.13399999999999</v>
      </c>
      <c r="C1051" s="77" t="s">
        <v>5636</v>
      </c>
      <c r="D1051" s="191" t="str">
        <f t="shared" si="50"/>
        <v>V-StrongLumio LED pásek 4,8W/m 12V bílá teplá IP65 (132267)</v>
      </c>
      <c r="E1051" s="77" t="s">
        <v>4160</v>
      </c>
      <c r="F1051" s="77" t="s">
        <v>4161</v>
      </c>
      <c r="G1051" s="77" t="s">
        <v>4163</v>
      </c>
      <c r="H1051" s="77" t="s">
        <v>4162</v>
      </c>
      <c r="I1051" s="77" t="s">
        <v>992</v>
      </c>
      <c r="J1051" s="90">
        <v>5</v>
      </c>
      <c r="K1051" s="91">
        <v>0.5</v>
      </c>
      <c r="L1051" s="77" t="s">
        <v>160</v>
      </c>
      <c r="M1051" s="78">
        <v>167.13399999999999</v>
      </c>
      <c r="N1051" s="79">
        <v>6.8281700000000001</v>
      </c>
      <c r="O1051" s="79">
        <v>11.090450000000001</v>
      </c>
      <c r="P1051" s="79">
        <v>2308.6987199999999</v>
      </c>
      <c r="Q1051" s="77"/>
      <c r="R1051" s="77"/>
      <c r="S1051" s="77"/>
      <c r="T1051" s="77"/>
      <c r="U1051" s="77"/>
      <c r="V1051" s="87"/>
      <c r="W1051" s="87"/>
      <c r="X1051" s="87"/>
      <c r="Y1051" s="77"/>
      <c r="Z1051" s="88"/>
      <c r="AA1051" s="35"/>
      <c r="AB1051" s="35"/>
    </row>
    <row r="1052" spans="1:28" x14ac:dyDescent="0.25">
      <c r="A1052" s="68" t="str">
        <f t="shared" ref="A1052:A1115" si="51">C1052</f>
        <v>305394</v>
      </c>
      <c r="B1052" s="10">
        <f t="shared" si="49"/>
        <v>100.045</v>
      </c>
      <c r="C1052" s="77" t="s">
        <v>5637</v>
      </c>
      <c r="D1052" s="191" t="str">
        <f t="shared" si="50"/>
        <v>V-StrongLumio LED pásek 6W/m 24V bílá neutrální (284555)</v>
      </c>
      <c r="E1052" s="77" t="s">
        <v>4164</v>
      </c>
      <c r="F1052" s="77" t="s">
        <v>4165</v>
      </c>
      <c r="G1052" s="77" t="s">
        <v>4167</v>
      </c>
      <c r="H1052" s="77" t="s">
        <v>4166</v>
      </c>
      <c r="I1052" s="77" t="s">
        <v>992</v>
      </c>
      <c r="J1052" s="90">
        <v>5</v>
      </c>
      <c r="K1052" s="91">
        <v>0.5</v>
      </c>
      <c r="L1052" s="77" t="s">
        <v>6566</v>
      </c>
      <c r="M1052" s="78">
        <v>100.045</v>
      </c>
      <c r="N1052" s="79">
        <v>4.0873100000000004</v>
      </c>
      <c r="O1052" s="79">
        <v>12.46055</v>
      </c>
      <c r="P1052" s="79">
        <v>1381.9675199999999</v>
      </c>
      <c r="Q1052" s="77"/>
      <c r="R1052" s="77"/>
      <c r="S1052" s="77"/>
      <c r="T1052" s="77"/>
      <c r="U1052" s="77"/>
      <c r="V1052" s="87"/>
      <c r="W1052" s="87"/>
      <c r="X1052" s="87"/>
      <c r="Y1052" s="77"/>
      <c r="Z1052" s="88"/>
      <c r="AA1052" s="35"/>
      <c r="AB1052" s="35"/>
    </row>
    <row r="1053" spans="1:28" x14ac:dyDescent="0.25">
      <c r="A1053" s="68" t="str">
        <f t="shared" si="51"/>
        <v>312222</v>
      </c>
      <c r="B1053" s="10">
        <f t="shared" si="49"/>
        <v>100.045</v>
      </c>
      <c r="C1053" s="77" t="s">
        <v>5638</v>
      </c>
      <c r="D1053" s="191" t="str">
        <f t="shared" si="50"/>
        <v>V-StrongLumio LED pásek 6W/m 24V bílá studená (284556)</v>
      </c>
      <c r="E1053" s="77" t="s">
        <v>4168</v>
      </c>
      <c r="F1053" s="77" t="s">
        <v>4169</v>
      </c>
      <c r="G1053" s="77" t="s">
        <v>4171</v>
      </c>
      <c r="H1053" s="77" t="s">
        <v>4170</v>
      </c>
      <c r="I1053" s="77" t="s">
        <v>992</v>
      </c>
      <c r="J1053" s="90">
        <v>5</v>
      </c>
      <c r="K1053" s="91">
        <v>0.5</v>
      </c>
      <c r="L1053" s="77" t="s">
        <v>6566</v>
      </c>
      <c r="M1053" s="78">
        <v>100.045</v>
      </c>
      <c r="N1053" s="79">
        <v>4.0873100000000004</v>
      </c>
      <c r="O1053" s="79">
        <v>14.4666</v>
      </c>
      <c r="P1053" s="79">
        <v>1381.9675199999999</v>
      </c>
      <c r="Q1053" s="77"/>
      <c r="R1053" s="77"/>
      <c r="S1053" s="77"/>
      <c r="T1053" s="77"/>
      <c r="U1053" s="77"/>
      <c r="V1053" s="87"/>
      <c r="W1053" s="87"/>
      <c r="X1053" s="87"/>
      <c r="Y1053" s="77"/>
      <c r="Z1053" s="88"/>
      <c r="AA1053" s="35"/>
      <c r="AB1053" s="35"/>
    </row>
    <row r="1054" spans="1:28" x14ac:dyDescent="0.25">
      <c r="A1054" s="68" t="str">
        <f t="shared" si="51"/>
        <v>312217</v>
      </c>
      <c r="B1054" s="10">
        <f t="shared" ref="B1054:B1117" si="52">IF($B$1=1,M1054,IF($B$1=2,N1054,IF($B$1=3,O1054,IF($B$1=4,P1054))))</f>
        <v>100.045</v>
      </c>
      <c r="C1054" s="77" t="s">
        <v>5639</v>
      </c>
      <c r="D1054" s="191" t="str">
        <f t="shared" si="50"/>
        <v>V-StrongLumio LED pásek 6W/m 24V bílá teplá (284554)</v>
      </c>
      <c r="E1054" s="77" t="s">
        <v>4172</v>
      </c>
      <c r="F1054" s="77" t="s">
        <v>4173</v>
      </c>
      <c r="G1054" s="77" t="s">
        <v>4175</v>
      </c>
      <c r="H1054" s="77" t="s">
        <v>4174</v>
      </c>
      <c r="I1054" s="77" t="s">
        <v>992</v>
      </c>
      <c r="J1054" s="90">
        <v>5</v>
      </c>
      <c r="K1054" s="91">
        <v>0.5</v>
      </c>
      <c r="L1054" s="77" t="s">
        <v>6566</v>
      </c>
      <c r="M1054" s="78">
        <v>100.045</v>
      </c>
      <c r="N1054" s="79">
        <v>4.0873100000000004</v>
      </c>
      <c r="O1054" s="79">
        <v>10.826499999999999</v>
      </c>
      <c r="P1054" s="79">
        <v>1381.9675199999999</v>
      </c>
      <c r="Q1054" s="77"/>
      <c r="R1054" s="77"/>
      <c r="S1054" s="77"/>
      <c r="T1054" s="77"/>
      <c r="U1054" s="77"/>
      <c r="V1054" s="87"/>
      <c r="W1054" s="87"/>
      <c r="X1054" s="87"/>
      <c r="Y1054" s="77"/>
      <c r="Z1054" s="88"/>
      <c r="AA1054" s="35"/>
      <c r="AB1054" s="35"/>
    </row>
    <row r="1055" spans="1:28" x14ac:dyDescent="0.25">
      <c r="A1055" s="68" t="str">
        <f t="shared" si="51"/>
        <v>376380</v>
      </c>
      <c r="B1055" s="10">
        <f t="shared" si="52"/>
        <v>62.634</v>
      </c>
      <c r="C1055" s="77" t="s">
        <v>5640</v>
      </c>
      <c r="D1055" s="191" t="str">
        <f t="shared" si="50"/>
        <v>V-StrongLumio LED pásek 6W/m 24V CC CRI90 bílá studená 120 LED/m (355848)</v>
      </c>
      <c r="E1055" s="77" t="s">
        <v>4176</v>
      </c>
      <c r="F1055" s="77" t="s">
        <v>4177</v>
      </c>
      <c r="G1055" s="77" t="s">
        <v>4179</v>
      </c>
      <c r="H1055" s="77" t="s">
        <v>4178</v>
      </c>
      <c r="I1055" s="77" t="s">
        <v>992</v>
      </c>
      <c r="J1055" s="90">
        <v>12</v>
      </c>
      <c r="K1055" s="91">
        <v>1</v>
      </c>
      <c r="L1055" s="77" t="s">
        <v>160</v>
      </c>
      <c r="M1055" s="78">
        <v>62.634</v>
      </c>
      <c r="N1055" s="79">
        <v>2.8632599999999999</v>
      </c>
      <c r="O1055" s="79">
        <v>39.435380000000002</v>
      </c>
      <c r="P1055" s="79">
        <v>1081.4902500000001</v>
      </c>
      <c r="Q1055" s="77"/>
      <c r="R1055" s="77"/>
      <c r="S1055" s="77"/>
      <c r="T1055" s="77"/>
      <c r="U1055" s="77"/>
      <c r="V1055" s="87"/>
      <c r="W1055" s="87"/>
      <c r="X1055" s="87"/>
      <c r="Y1055" s="77"/>
      <c r="Z1055" s="88"/>
      <c r="AA1055" s="35"/>
      <c r="AB1055" s="35"/>
    </row>
    <row r="1056" spans="1:28" x14ac:dyDescent="0.25">
      <c r="A1056" s="68" t="str">
        <f t="shared" si="51"/>
        <v>376331</v>
      </c>
      <c r="B1056" s="10">
        <f t="shared" si="52"/>
        <v>0</v>
      </c>
      <c r="C1056" s="77" t="s">
        <v>5641</v>
      </c>
      <c r="D1056" s="191" t="str">
        <f t="shared" si="50"/>
        <v>V-StrongLumio LED pásek 6W/m 24V CC CRI90 bílá teplá 120 LED/m (355846)</v>
      </c>
      <c r="E1056" s="77" t="s">
        <v>4180</v>
      </c>
      <c r="F1056" s="77" t="s">
        <v>4181</v>
      </c>
      <c r="G1056" s="77" t="s">
        <v>4183</v>
      </c>
      <c r="H1056" s="77" t="s">
        <v>4182</v>
      </c>
      <c r="I1056" s="77" t="s">
        <v>992</v>
      </c>
      <c r="J1056" s="90">
        <v>50</v>
      </c>
      <c r="K1056" s="91">
        <v>1</v>
      </c>
      <c r="L1056" s="77" t="s">
        <v>160</v>
      </c>
      <c r="M1056" s="78">
        <v>0</v>
      </c>
      <c r="N1056" s="79">
        <v>0</v>
      </c>
      <c r="O1056" s="79">
        <v>78.646829999999994</v>
      </c>
      <c r="P1056" s="79">
        <v>0</v>
      </c>
      <c r="Q1056" s="77"/>
      <c r="R1056" s="77"/>
      <c r="S1056" s="77"/>
      <c r="T1056" s="77"/>
      <c r="U1056" s="77"/>
      <c r="V1056" s="87"/>
      <c r="W1056" s="87"/>
      <c r="X1056" s="87"/>
      <c r="Y1056" s="77"/>
      <c r="Z1056" s="88"/>
      <c r="AA1056" s="35"/>
      <c r="AB1056" s="35"/>
    </row>
    <row r="1057" spans="1:28" x14ac:dyDescent="0.25">
      <c r="A1057" s="68" t="str">
        <f t="shared" si="51"/>
        <v>259825</v>
      </c>
      <c r="B1057" s="10">
        <f t="shared" si="52"/>
        <v>157.30000000000001</v>
      </c>
      <c r="C1057" s="77" t="s">
        <v>5642</v>
      </c>
      <c r="D1057" s="191" t="str">
        <f t="shared" si="50"/>
        <v>V-StrongLumio LED pásek 9,6W/m 12V bílá neutrální (250029)</v>
      </c>
      <c r="E1057" s="77" t="s">
        <v>4184</v>
      </c>
      <c r="F1057" s="77" t="s">
        <v>4185</v>
      </c>
      <c r="G1057" s="77" t="s">
        <v>4187</v>
      </c>
      <c r="H1057" s="77" t="s">
        <v>4186</v>
      </c>
      <c r="I1057" s="77" t="s">
        <v>992</v>
      </c>
      <c r="J1057" s="90">
        <v>30</v>
      </c>
      <c r="K1057" s="91">
        <v>0.5</v>
      </c>
      <c r="L1057" s="77" t="s">
        <v>6566</v>
      </c>
      <c r="M1057" s="78">
        <v>157.30000000000001</v>
      </c>
      <c r="N1057" s="79">
        <v>6.4087699999999996</v>
      </c>
      <c r="O1057" s="79">
        <v>7.7583200000000003</v>
      </c>
      <c r="P1057" s="79">
        <v>1901.2500199999999</v>
      </c>
      <c r="Q1057" s="77"/>
      <c r="R1057" s="77"/>
      <c r="S1057" s="77"/>
      <c r="T1057" s="77"/>
      <c r="U1057" s="77"/>
      <c r="V1057" s="87"/>
      <c r="W1057" s="87"/>
      <c r="X1057" s="87"/>
      <c r="Y1057" s="77"/>
      <c r="Z1057" s="88"/>
      <c r="AA1057" s="35"/>
      <c r="AB1057" s="35"/>
    </row>
    <row r="1058" spans="1:28" x14ac:dyDescent="0.25">
      <c r="A1058" s="68" t="str">
        <f t="shared" si="51"/>
        <v>247034</v>
      </c>
      <c r="B1058" s="10">
        <f t="shared" si="52"/>
        <v>147.62</v>
      </c>
      <c r="C1058" s="77" t="s">
        <v>5643</v>
      </c>
      <c r="D1058" s="191" t="str">
        <f t="shared" si="50"/>
        <v>V-StrongLumio LED pásek 9,6W/m 12V bílá studená (231387)</v>
      </c>
      <c r="E1058" s="77" t="s">
        <v>4188</v>
      </c>
      <c r="F1058" s="77" t="s">
        <v>4189</v>
      </c>
      <c r="G1058" s="77" t="s">
        <v>4191</v>
      </c>
      <c r="H1058" s="77" t="s">
        <v>4190</v>
      </c>
      <c r="I1058" s="77" t="s">
        <v>992</v>
      </c>
      <c r="J1058" s="90">
        <v>30</v>
      </c>
      <c r="K1058" s="91">
        <v>0.1</v>
      </c>
      <c r="L1058" s="77" t="s">
        <v>6566</v>
      </c>
      <c r="M1058" s="78">
        <v>147.62</v>
      </c>
      <c r="N1058" s="79">
        <v>6.0143399999999998</v>
      </c>
      <c r="O1058" s="79">
        <v>8.2447900000000001</v>
      </c>
      <c r="P1058" s="79">
        <v>1784.24999</v>
      </c>
      <c r="Q1058" s="77"/>
      <c r="R1058" s="77"/>
      <c r="S1058" s="77"/>
      <c r="T1058" s="77"/>
      <c r="U1058" s="77"/>
      <c r="V1058" s="87"/>
      <c r="W1058" s="87"/>
      <c r="X1058" s="87"/>
      <c r="Y1058" s="77"/>
      <c r="Z1058" s="88"/>
      <c r="AA1058" s="35"/>
      <c r="AB1058" s="35"/>
    </row>
    <row r="1059" spans="1:28" x14ac:dyDescent="0.25">
      <c r="A1059" s="68" t="str">
        <f t="shared" si="51"/>
        <v>247035</v>
      </c>
      <c r="B1059" s="10">
        <f t="shared" si="52"/>
        <v>150.04</v>
      </c>
      <c r="C1059" s="77" t="s">
        <v>5644</v>
      </c>
      <c r="D1059" s="191" t="str">
        <f t="shared" si="50"/>
        <v>V-StrongLumio LED pásek 9,6W/m 12V bílá teplá (231392)</v>
      </c>
      <c r="E1059" s="77" t="s">
        <v>4192</v>
      </c>
      <c r="F1059" s="77" t="s">
        <v>4193</v>
      </c>
      <c r="G1059" s="77" t="s">
        <v>4195</v>
      </c>
      <c r="H1059" s="77" t="s">
        <v>4194</v>
      </c>
      <c r="I1059" s="77" t="s">
        <v>992</v>
      </c>
      <c r="J1059" s="90">
        <v>30</v>
      </c>
      <c r="K1059" s="91">
        <v>0.1</v>
      </c>
      <c r="L1059" s="77" t="s">
        <v>6566</v>
      </c>
      <c r="M1059" s="78">
        <v>150.04</v>
      </c>
      <c r="N1059" s="79">
        <v>6.11294</v>
      </c>
      <c r="O1059" s="79">
        <v>7.6341099999999997</v>
      </c>
      <c r="P1059" s="79">
        <v>1813.50001</v>
      </c>
      <c r="Q1059" s="77"/>
      <c r="R1059" s="77"/>
      <c r="S1059" s="77"/>
      <c r="T1059" s="77"/>
      <c r="U1059" s="77"/>
      <c r="V1059" s="87"/>
      <c r="W1059" s="87"/>
      <c r="X1059" s="87"/>
      <c r="Y1059" s="77"/>
      <c r="Z1059" s="88"/>
      <c r="AA1059" s="35"/>
      <c r="AB1059" s="35"/>
    </row>
    <row r="1060" spans="1:28" x14ac:dyDescent="0.25">
      <c r="A1060" s="68" t="str">
        <f t="shared" si="51"/>
        <v>529561</v>
      </c>
      <c r="B1060" s="10">
        <f t="shared" si="52"/>
        <v>396.43560000000002</v>
      </c>
      <c r="C1060" s="77" t="s">
        <v>5645</v>
      </c>
      <c r="D1060" s="191" t="str">
        <f t="shared" si="50"/>
        <v>V-StrongLumio LED pásek 9,6W/m 24V (120 LED) bílá teplá neon IP67 (405177)</v>
      </c>
      <c r="E1060" s="77" t="s">
        <v>4196</v>
      </c>
      <c r="F1060" s="77" t="s">
        <v>4197</v>
      </c>
      <c r="G1060" s="77" t="s">
        <v>4199</v>
      </c>
      <c r="H1060" s="77" t="s">
        <v>4198</v>
      </c>
      <c r="I1060" s="77" t="s">
        <v>992</v>
      </c>
      <c r="J1060" s="90">
        <v>5</v>
      </c>
      <c r="K1060" s="91">
        <v>1</v>
      </c>
      <c r="L1060" s="77" t="s">
        <v>160</v>
      </c>
      <c r="M1060" s="78">
        <v>396.43560000000002</v>
      </c>
      <c r="N1060" s="79">
        <v>16.448830000000001</v>
      </c>
      <c r="O1060" s="79">
        <v>43.290550000000003</v>
      </c>
      <c r="P1060" s="79">
        <v>5534.4039000000002</v>
      </c>
      <c r="Q1060" s="77"/>
      <c r="R1060" s="77"/>
      <c r="S1060" s="77"/>
      <c r="T1060" s="77"/>
      <c r="U1060" s="77"/>
      <c r="V1060" s="87"/>
      <c r="W1060" s="87"/>
      <c r="X1060" s="87"/>
      <c r="Y1060" s="77"/>
      <c r="Z1060" s="88"/>
      <c r="AA1060" s="35"/>
      <c r="AB1060" s="35"/>
    </row>
    <row r="1061" spans="1:28" x14ac:dyDescent="0.25">
      <c r="A1061" s="68" t="str">
        <f t="shared" si="51"/>
        <v>557591</v>
      </c>
      <c r="B1061" s="10">
        <f t="shared" si="52"/>
        <v>78.259799999999998</v>
      </c>
      <c r="C1061" s="77" t="s">
        <v>6221</v>
      </c>
      <c r="D1061" s="191" t="str">
        <f t="shared" si="50"/>
        <v>V-StrongLumio LED pásek COB 12V 5W/m (320 LED/m) 8mm, bílá neutrální (544535)</v>
      </c>
      <c r="E1061" s="77" t="s">
        <v>6222</v>
      </c>
      <c r="F1061" s="77" t="s">
        <v>745</v>
      </c>
      <c r="G1061" s="77" t="s">
        <v>746</v>
      </c>
      <c r="H1061" s="77" t="s">
        <v>747</v>
      </c>
      <c r="I1061" s="77" t="s">
        <v>992</v>
      </c>
      <c r="J1061" s="90">
        <v>50</v>
      </c>
      <c r="K1061" s="91">
        <v>1</v>
      </c>
      <c r="L1061" s="77" t="s">
        <v>6566</v>
      </c>
      <c r="M1061" s="78">
        <v>78.259799999999998</v>
      </c>
      <c r="N1061" s="79">
        <v>3.2103899999999999</v>
      </c>
      <c r="O1061" s="79">
        <v>0</v>
      </c>
      <c r="P1061" s="79">
        <v>0</v>
      </c>
      <c r="Q1061" s="77"/>
      <c r="R1061" s="77"/>
      <c r="S1061" s="77"/>
      <c r="T1061" s="77"/>
      <c r="U1061" s="77"/>
      <c r="V1061" s="87"/>
      <c r="W1061" s="87"/>
      <c r="X1061" s="87"/>
      <c r="Y1061" s="77"/>
      <c r="Z1061" s="88"/>
      <c r="AA1061" s="35"/>
      <c r="AB1061" s="35"/>
    </row>
    <row r="1062" spans="1:28" x14ac:dyDescent="0.25">
      <c r="A1062" s="68" t="str">
        <f t="shared" si="51"/>
        <v>557592</v>
      </c>
      <c r="B1062" s="10">
        <f t="shared" si="52"/>
        <v>78.259799999999998</v>
      </c>
      <c r="C1062" s="77" t="s">
        <v>6223</v>
      </c>
      <c r="D1062" s="191" t="str">
        <f t="shared" si="50"/>
        <v>V-StrongLumio LED pásek COB 12V 5W/m (320 LED/m) 8mm, bílá studená (544536)</v>
      </c>
      <c r="E1062" s="77" t="s">
        <v>6224</v>
      </c>
      <c r="F1062" s="77" t="s">
        <v>750</v>
      </c>
      <c r="G1062" s="77" t="s">
        <v>751</v>
      </c>
      <c r="H1062" s="77" t="s">
        <v>752</v>
      </c>
      <c r="I1062" s="77" t="s">
        <v>992</v>
      </c>
      <c r="J1062" s="90">
        <v>50</v>
      </c>
      <c r="K1062" s="91">
        <v>1</v>
      </c>
      <c r="L1062" s="77" t="s">
        <v>6566</v>
      </c>
      <c r="M1062" s="78">
        <v>78.259799999999998</v>
      </c>
      <c r="N1062" s="79">
        <v>3.2103899999999999</v>
      </c>
      <c r="O1062" s="79">
        <v>0</v>
      </c>
      <c r="P1062" s="79">
        <v>0</v>
      </c>
      <c r="Q1062" s="77"/>
      <c r="R1062" s="77"/>
      <c r="S1062" s="77"/>
      <c r="T1062" s="77"/>
      <c r="U1062" s="77"/>
      <c r="V1062" s="87"/>
      <c r="W1062" s="87"/>
      <c r="X1062" s="87"/>
      <c r="Y1062" s="77"/>
      <c r="Z1062" s="88"/>
      <c r="AA1062" s="35"/>
      <c r="AB1062" s="35"/>
    </row>
    <row r="1063" spans="1:28" x14ac:dyDescent="0.25">
      <c r="A1063" s="68" t="str">
        <f t="shared" si="51"/>
        <v>557590</v>
      </c>
      <c r="B1063" s="10">
        <f t="shared" si="52"/>
        <v>78.259799999999998</v>
      </c>
      <c r="C1063" s="77" t="s">
        <v>6219</v>
      </c>
      <c r="D1063" s="191" t="str">
        <f t="shared" si="50"/>
        <v>V-StrongLumio LED pásek COB 12V 5W/m (320 LED/m) 8mm, bílá teplá (544534)</v>
      </c>
      <c r="E1063" s="77" t="s">
        <v>6220</v>
      </c>
      <c r="F1063" s="77" t="s">
        <v>740</v>
      </c>
      <c r="G1063" s="77" t="s">
        <v>741</v>
      </c>
      <c r="H1063" s="77" t="s">
        <v>742</v>
      </c>
      <c r="I1063" s="77" t="s">
        <v>992</v>
      </c>
      <c r="J1063" s="90">
        <v>50</v>
      </c>
      <c r="K1063" s="91">
        <v>1</v>
      </c>
      <c r="L1063" s="77" t="s">
        <v>6566</v>
      </c>
      <c r="M1063" s="78">
        <v>78.259799999999998</v>
      </c>
      <c r="N1063" s="79">
        <v>3.2103899999999999</v>
      </c>
      <c r="O1063" s="79">
        <v>0</v>
      </c>
      <c r="P1063" s="79">
        <v>0</v>
      </c>
      <c r="Q1063" s="77"/>
      <c r="R1063" s="77"/>
      <c r="S1063" s="77"/>
      <c r="T1063" s="77"/>
      <c r="U1063" s="77"/>
      <c r="V1063" s="87"/>
      <c r="W1063" s="87"/>
      <c r="X1063" s="87"/>
      <c r="Y1063" s="77"/>
      <c r="Z1063" s="88"/>
      <c r="AA1063" s="35"/>
      <c r="AB1063" s="35"/>
    </row>
    <row r="1064" spans="1:28" x14ac:dyDescent="0.25">
      <c r="A1064" s="68" t="str">
        <f t="shared" si="51"/>
        <v>555943</v>
      </c>
      <c r="B1064" s="10">
        <f t="shared" si="52"/>
        <v>102.64319999999999</v>
      </c>
      <c r="C1064" s="77" t="s">
        <v>5646</v>
      </c>
      <c r="D1064" s="191" t="str">
        <f t="shared" si="50"/>
        <v>V-StrongLumio LED pásek COB 24V 10+10W/m (576 LED/m) - 8mm 2PIN CCT (544705)</v>
      </c>
      <c r="E1064" s="77" t="s">
        <v>4200</v>
      </c>
      <c r="F1064" s="77" t="s">
        <v>4201</v>
      </c>
      <c r="G1064" s="77" t="s">
        <v>4203</v>
      </c>
      <c r="H1064" s="77" t="s">
        <v>4202</v>
      </c>
      <c r="I1064" s="77" t="s">
        <v>992</v>
      </c>
      <c r="J1064" s="90">
        <v>50</v>
      </c>
      <c r="K1064" s="91">
        <v>1</v>
      </c>
      <c r="L1064" s="77" t="s">
        <v>6566</v>
      </c>
      <c r="M1064" s="78">
        <v>102.64319999999999</v>
      </c>
      <c r="N1064" s="79">
        <v>4.3915199999999999</v>
      </c>
      <c r="O1064" s="79">
        <v>0</v>
      </c>
      <c r="P1064" s="79">
        <v>0</v>
      </c>
      <c r="Q1064" s="77"/>
      <c r="R1064" s="77"/>
      <c r="S1064" s="77"/>
      <c r="T1064" s="77"/>
      <c r="U1064" s="77"/>
      <c r="V1064" s="87"/>
      <c r="W1064" s="87"/>
      <c r="X1064" s="87"/>
      <c r="Y1064" s="77"/>
      <c r="Z1064" s="88"/>
      <c r="AA1064" s="35"/>
      <c r="AB1064" s="35"/>
    </row>
    <row r="1065" spans="1:28" x14ac:dyDescent="0.25">
      <c r="A1065" s="68" t="str">
        <f t="shared" si="51"/>
        <v>557593</v>
      </c>
      <c r="B1065" s="10">
        <f t="shared" si="52"/>
        <v>138.886</v>
      </c>
      <c r="C1065" s="77" t="s">
        <v>6225</v>
      </c>
      <c r="D1065" s="191" t="str">
        <f t="shared" si="50"/>
        <v>V-StrongLumio LED pásek COB 24V 12W/m (480 LED/m) 8mm, extra bílá teplá (544583)</v>
      </c>
      <c r="E1065" s="77" t="s">
        <v>6226</v>
      </c>
      <c r="F1065" s="77" t="s">
        <v>578</v>
      </c>
      <c r="G1065" s="77" t="s">
        <v>579</v>
      </c>
      <c r="H1065" s="77" t="s">
        <v>580</v>
      </c>
      <c r="I1065" s="77" t="s">
        <v>992</v>
      </c>
      <c r="J1065" s="90">
        <v>50</v>
      </c>
      <c r="K1065" s="91">
        <v>1</v>
      </c>
      <c r="L1065" s="77" t="s">
        <v>6566</v>
      </c>
      <c r="M1065" s="78">
        <v>138.886</v>
      </c>
      <c r="N1065" s="79">
        <v>5.4902300000000004</v>
      </c>
      <c r="O1065" s="79">
        <v>0</v>
      </c>
      <c r="P1065" s="79">
        <v>0</v>
      </c>
      <c r="Q1065" s="77"/>
      <c r="R1065" s="77"/>
      <c r="S1065" s="77"/>
      <c r="T1065" s="77"/>
      <c r="U1065" s="77"/>
      <c r="V1065" s="87"/>
      <c r="W1065" s="87"/>
      <c r="X1065" s="87"/>
      <c r="Y1065" s="77"/>
      <c r="Z1065" s="88"/>
      <c r="AA1065" s="35"/>
      <c r="AB1065" s="35"/>
    </row>
    <row r="1066" spans="1:28" x14ac:dyDescent="0.25">
      <c r="A1066" s="68" t="str">
        <f t="shared" si="51"/>
        <v>557488</v>
      </c>
      <c r="B1066" s="10">
        <f t="shared" si="52"/>
        <v>78.259799999999998</v>
      </c>
      <c r="C1066" s="77" t="s">
        <v>6215</v>
      </c>
      <c r="D1066" s="191" t="str">
        <f t="shared" si="50"/>
        <v>V-StrongLumio LED pásek COB 24V 5W/m (320 LED/m) 8mm, bílá neutrální (544532)</v>
      </c>
      <c r="E1066" s="77" t="s">
        <v>6216</v>
      </c>
      <c r="F1066" s="77" t="s">
        <v>6554</v>
      </c>
      <c r="G1066" s="77" t="s">
        <v>6556</v>
      </c>
      <c r="H1066" s="77" t="s">
        <v>6555</v>
      </c>
      <c r="I1066" s="77" t="s">
        <v>992</v>
      </c>
      <c r="J1066" s="90">
        <v>50</v>
      </c>
      <c r="K1066" s="91">
        <v>1</v>
      </c>
      <c r="L1066" s="77" t="s">
        <v>6566</v>
      </c>
      <c r="M1066" s="78">
        <v>78.259799999999998</v>
      </c>
      <c r="N1066" s="79">
        <v>3.2103899999999999</v>
      </c>
      <c r="O1066" s="79">
        <v>0</v>
      </c>
      <c r="P1066" s="79">
        <v>0</v>
      </c>
      <c r="Q1066" s="77"/>
      <c r="R1066" s="77"/>
      <c r="S1066" s="77"/>
      <c r="T1066" s="77"/>
      <c r="U1066" s="77"/>
      <c r="V1066" s="87"/>
      <c r="W1066" s="87"/>
      <c r="X1066" s="87"/>
      <c r="Y1066" s="77"/>
      <c r="Z1066" s="88"/>
      <c r="AA1066" s="35"/>
      <c r="AB1066" s="35"/>
    </row>
    <row r="1067" spans="1:28" x14ac:dyDescent="0.25">
      <c r="A1067" s="68" t="str">
        <f t="shared" si="51"/>
        <v>557588</v>
      </c>
      <c r="B1067" s="10">
        <f t="shared" si="52"/>
        <v>78.259799999999998</v>
      </c>
      <c r="C1067" s="77" t="s">
        <v>6217</v>
      </c>
      <c r="D1067" s="191" t="str">
        <f t="shared" si="50"/>
        <v>V-StrongLumio LED pásek COB 24V 5W/m (320 LED/m) 8mm, bílá studená (544533)</v>
      </c>
      <c r="E1067" s="77" t="s">
        <v>6218</v>
      </c>
      <c r="F1067" s="77" t="s">
        <v>735</v>
      </c>
      <c r="G1067" s="77" t="s">
        <v>736</v>
      </c>
      <c r="H1067" s="77" t="s">
        <v>737</v>
      </c>
      <c r="I1067" s="77" t="s">
        <v>992</v>
      </c>
      <c r="J1067" s="90">
        <v>50</v>
      </c>
      <c r="K1067" s="91">
        <v>1</v>
      </c>
      <c r="L1067" s="77" t="s">
        <v>6566</v>
      </c>
      <c r="M1067" s="78">
        <v>78.259799999999998</v>
      </c>
      <c r="N1067" s="79">
        <v>3.2103899999999999</v>
      </c>
      <c r="O1067" s="79">
        <v>0</v>
      </c>
      <c r="P1067" s="79">
        <v>0</v>
      </c>
      <c r="Q1067" s="77"/>
      <c r="R1067" s="77"/>
      <c r="S1067" s="77"/>
      <c r="T1067" s="77"/>
      <c r="U1067" s="77"/>
      <c r="V1067" s="87"/>
      <c r="W1067" s="87"/>
      <c r="X1067" s="87"/>
      <c r="Y1067" s="77"/>
      <c r="Z1067" s="88"/>
      <c r="AA1067" s="35"/>
      <c r="AB1067" s="35"/>
    </row>
    <row r="1068" spans="1:28" x14ac:dyDescent="0.25">
      <c r="A1068" s="68" t="str">
        <f t="shared" si="51"/>
        <v>557479</v>
      </c>
      <c r="B1068" s="10">
        <f t="shared" si="52"/>
        <v>78.259799999999998</v>
      </c>
      <c r="C1068" s="77" t="s">
        <v>6213</v>
      </c>
      <c r="D1068" s="191" t="str">
        <f t="shared" si="50"/>
        <v>V-StrongLumio LED pásek COB 24V 5W/m (320 LED/m) 8mm, bílá teplá (544503)</v>
      </c>
      <c r="E1068" s="77" t="s">
        <v>6214</v>
      </c>
      <c r="F1068" s="77" t="s">
        <v>6557</v>
      </c>
      <c r="G1068" s="77" t="s">
        <v>6559</v>
      </c>
      <c r="H1068" s="77" t="s">
        <v>6558</v>
      </c>
      <c r="I1068" s="77" t="s">
        <v>992</v>
      </c>
      <c r="J1068" s="90">
        <v>50</v>
      </c>
      <c r="K1068" s="91">
        <v>1</v>
      </c>
      <c r="L1068" s="77" t="s">
        <v>6566</v>
      </c>
      <c r="M1068" s="78">
        <v>78.259799999999998</v>
      </c>
      <c r="N1068" s="79">
        <v>3.2103899999999999</v>
      </c>
      <c r="O1068" s="79">
        <v>0</v>
      </c>
      <c r="P1068" s="79">
        <v>0</v>
      </c>
      <c r="Q1068" s="77"/>
      <c r="R1068" s="77"/>
      <c r="S1068" s="77"/>
      <c r="T1068" s="77"/>
      <c r="U1068" s="77"/>
      <c r="V1068" s="87"/>
      <c r="W1068" s="87"/>
      <c r="X1068" s="87"/>
      <c r="Y1068" s="77"/>
      <c r="Z1068" s="88"/>
      <c r="AA1068" s="35"/>
      <c r="AB1068" s="35"/>
    </row>
    <row r="1069" spans="1:28" x14ac:dyDescent="0.25">
      <c r="A1069" s="68" t="str">
        <f t="shared" si="51"/>
        <v>557594</v>
      </c>
      <c r="B1069" s="10">
        <f t="shared" si="52"/>
        <v>90.393410000000003</v>
      </c>
      <c r="C1069" s="77" t="s">
        <v>6227</v>
      </c>
      <c r="D1069" s="191" t="str">
        <f t="shared" si="50"/>
        <v>V-StrongLumio LED pásek COB 24V 8W/m (320 LED/m) 5mm, bílá studená (544586)</v>
      </c>
      <c r="E1069" s="77" t="s">
        <v>6228</v>
      </c>
      <c r="F1069" s="77" t="s">
        <v>605</v>
      </c>
      <c r="G1069" s="77" t="s">
        <v>606</v>
      </c>
      <c r="H1069" s="77" t="s">
        <v>607</v>
      </c>
      <c r="I1069" s="77" t="s">
        <v>992</v>
      </c>
      <c r="J1069" s="90">
        <v>50</v>
      </c>
      <c r="K1069" s="91">
        <v>1</v>
      </c>
      <c r="L1069" s="77" t="s">
        <v>6566</v>
      </c>
      <c r="M1069" s="78">
        <v>90.393410000000003</v>
      </c>
      <c r="N1069" s="79">
        <v>3.7659799999999999</v>
      </c>
      <c r="O1069" s="79">
        <v>0</v>
      </c>
      <c r="P1069" s="79">
        <v>0</v>
      </c>
      <c r="Q1069" s="77"/>
      <c r="R1069" s="77"/>
      <c r="S1069" s="77"/>
      <c r="T1069" s="77"/>
      <c r="U1069" s="77"/>
      <c r="V1069" s="87"/>
      <c r="W1069" s="87"/>
      <c r="X1069" s="87"/>
      <c r="Y1069" s="77"/>
      <c r="Z1069" s="88"/>
      <c r="AA1069" s="35"/>
      <c r="AB1069" s="35"/>
    </row>
    <row r="1070" spans="1:28" x14ac:dyDescent="0.25">
      <c r="A1070" s="68" t="str">
        <f t="shared" si="51"/>
        <v>553018</v>
      </c>
      <c r="B1070" s="10">
        <f t="shared" si="52"/>
        <v>84.870720000000006</v>
      </c>
      <c r="C1070" s="77" t="s">
        <v>5647</v>
      </c>
      <c r="D1070" s="191" t="str">
        <f t="shared" si="50"/>
        <v>V-StrongLumio LED pásek COB 24V 8W/m (320 LED/m) 5mm, bílá teplá (544584)</v>
      </c>
      <c r="E1070" s="77" t="s">
        <v>4204</v>
      </c>
      <c r="F1070" s="77" t="s">
        <v>4205</v>
      </c>
      <c r="G1070" s="77" t="s">
        <v>4207</v>
      </c>
      <c r="H1070" s="77" t="s">
        <v>4206</v>
      </c>
      <c r="I1070" s="77" t="s">
        <v>992</v>
      </c>
      <c r="J1070" s="90">
        <v>50</v>
      </c>
      <c r="K1070" s="91">
        <v>0.1</v>
      </c>
      <c r="L1070" s="77" t="s">
        <v>6566</v>
      </c>
      <c r="M1070" s="78">
        <v>84.870720000000006</v>
      </c>
      <c r="N1070" s="79">
        <v>3.4073199999999999</v>
      </c>
      <c r="O1070" s="79">
        <v>0</v>
      </c>
      <c r="P1070" s="79">
        <v>0</v>
      </c>
      <c r="Q1070" s="77"/>
      <c r="R1070" s="77"/>
      <c r="S1070" s="77"/>
      <c r="T1070" s="77"/>
      <c r="U1070" s="77"/>
      <c r="V1070" s="87"/>
      <c r="W1070" s="87"/>
      <c r="X1070" s="87"/>
      <c r="Y1070" s="77"/>
      <c r="Z1070" s="88"/>
      <c r="AA1070" s="35"/>
      <c r="AB1070" s="35"/>
    </row>
    <row r="1071" spans="1:28" x14ac:dyDescent="0.25">
      <c r="A1071" s="68" t="str">
        <f t="shared" si="51"/>
        <v>557600</v>
      </c>
      <c r="B1071" s="10">
        <f t="shared" si="52"/>
        <v>167.50800000000001</v>
      </c>
      <c r="C1071" s="77" t="s">
        <v>6237</v>
      </c>
      <c r="D1071" s="191" t="str">
        <f t="shared" si="50"/>
        <v>V-StrongLumio LED pásek free cut COB 12V 12W/m (528 LED/m)8mm,bílá stud.(544596)</v>
      </c>
      <c r="E1071" s="77" t="s">
        <v>6238</v>
      </c>
      <c r="F1071" s="77" t="s">
        <v>551</v>
      </c>
      <c r="G1071" s="77" t="s">
        <v>552</v>
      </c>
      <c r="H1071" s="77" t="s">
        <v>553</v>
      </c>
      <c r="I1071" s="77" t="s">
        <v>992</v>
      </c>
      <c r="J1071" s="90">
        <v>50</v>
      </c>
      <c r="K1071" s="91">
        <v>1</v>
      </c>
      <c r="L1071" s="77" t="s">
        <v>6566</v>
      </c>
      <c r="M1071" s="78">
        <v>167.50800000000001</v>
      </c>
      <c r="N1071" s="79">
        <v>6.7249400000000001</v>
      </c>
      <c r="O1071" s="79">
        <v>0</v>
      </c>
      <c r="P1071" s="79">
        <v>0</v>
      </c>
      <c r="Q1071" s="77"/>
      <c r="R1071" s="77"/>
      <c r="S1071" s="77"/>
      <c r="T1071" s="77"/>
      <c r="U1071" s="77"/>
      <c r="V1071" s="87"/>
      <c r="W1071" s="87"/>
      <c r="X1071" s="87"/>
      <c r="Y1071" s="77"/>
      <c r="Z1071" s="88"/>
      <c r="AA1071" s="35"/>
      <c r="AB1071" s="35"/>
    </row>
    <row r="1072" spans="1:28" x14ac:dyDescent="0.25">
      <c r="A1072" s="68" t="str">
        <f t="shared" si="51"/>
        <v>557596</v>
      </c>
      <c r="B1072" s="10">
        <f t="shared" si="52"/>
        <v>167.50800000000001</v>
      </c>
      <c r="C1072" s="77" t="s">
        <v>6231</v>
      </c>
      <c r="D1072" s="191" t="str">
        <f t="shared" si="50"/>
        <v>V-StrongLumio LED pásek free cut COB 12V 12W/m (528 LED/m)8mm,bílá teplá(544594)</v>
      </c>
      <c r="E1072" s="77" t="s">
        <v>6232</v>
      </c>
      <c r="F1072" s="77" t="s">
        <v>541</v>
      </c>
      <c r="G1072" s="77" t="s">
        <v>542</v>
      </c>
      <c r="H1072" s="77" t="s">
        <v>543</v>
      </c>
      <c r="I1072" s="77" t="s">
        <v>992</v>
      </c>
      <c r="J1072" s="90">
        <v>50</v>
      </c>
      <c r="K1072" s="91">
        <v>1</v>
      </c>
      <c r="L1072" s="77" t="s">
        <v>6566</v>
      </c>
      <c r="M1072" s="78">
        <v>167.50800000000001</v>
      </c>
      <c r="N1072" s="79">
        <v>6.7249400000000001</v>
      </c>
      <c r="O1072" s="79">
        <v>0</v>
      </c>
      <c r="P1072" s="79">
        <v>0</v>
      </c>
      <c r="Q1072" s="77"/>
      <c r="R1072" s="77"/>
      <c r="S1072" s="77"/>
      <c r="T1072" s="77"/>
      <c r="U1072" s="77"/>
      <c r="V1072" s="87"/>
      <c r="W1072" s="87"/>
      <c r="X1072" s="87"/>
      <c r="Y1072" s="77"/>
      <c r="Z1072" s="88"/>
      <c r="AA1072" s="35"/>
      <c r="AB1072" s="35"/>
    </row>
    <row r="1073" spans="1:28" x14ac:dyDescent="0.25">
      <c r="A1073" s="68" t="str">
        <f t="shared" si="51"/>
        <v>557598</v>
      </c>
      <c r="B1073" s="10">
        <f t="shared" si="52"/>
        <v>167.50800000000001</v>
      </c>
      <c r="C1073" s="77" t="s">
        <v>6235</v>
      </c>
      <c r="D1073" s="191" t="str">
        <f t="shared" si="50"/>
        <v>V-StrongLumio LED pásek free cut COB 12V 12W/m(528 LED/m)8mm,bílá neutr.(544595)</v>
      </c>
      <c r="E1073" s="77" t="s">
        <v>6236</v>
      </c>
      <c r="F1073" s="77" t="s">
        <v>531</v>
      </c>
      <c r="G1073" s="77" t="s">
        <v>532</v>
      </c>
      <c r="H1073" s="77" t="s">
        <v>533</v>
      </c>
      <c r="I1073" s="77" t="s">
        <v>992</v>
      </c>
      <c r="J1073" s="90">
        <v>50</v>
      </c>
      <c r="K1073" s="91">
        <v>1</v>
      </c>
      <c r="L1073" s="77" t="s">
        <v>6566</v>
      </c>
      <c r="M1073" s="78">
        <v>167.50800000000001</v>
      </c>
      <c r="N1073" s="79">
        <v>6.7249400000000001</v>
      </c>
      <c r="O1073" s="79">
        <v>0</v>
      </c>
      <c r="P1073" s="79">
        <v>0</v>
      </c>
      <c r="Q1073" s="77"/>
      <c r="R1073" s="77"/>
      <c r="S1073" s="77"/>
      <c r="T1073" s="77"/>
      <c r="U1073" s="77"/>
      <c r="V1073" s="87"/>
      <c r="W1073" s="87"/>
      <c r="X1073" s="87"/>
      <c r="Y1073" s="77"/>
      <c r="Z1073" s="88"/>
      <c r="AA1073" s="35"/>
      <c r="AB1073" s="35"/>
    </row>
    <row r="1074" spans="1:28" x14ac:dyDescent="0.25">
      <c r="A1074" s="68" t="str">
        <f t="shared" si="51"/>
        <v>557595</v>
      </c>
      <c r="B1074" s="10">
        <f t="shared" si="52"/>
        <v>167.50800000000001</v>
      </c>
      <c r="C1074" s="77" t="s">
        <v>6229</v>
      </c>
      <c r="D1074" s="191" t="str">
        <f t="shared" si="50"/>
        <v>V-StrongLumio LED pásek free cut COB 24V 12W/m(528 LED/m) 8mm,bílá teplá(544587)</v>
      </c>
      <c r="E1074" s="77" t="s">
        <v>6230</v>
      </c>
      <c r="F1074" s="77" t="s">
        <v>562</v>
      </c>
      <c r="G1074" s="77" t="s">
        <v>563</v>
      </c>
      <c r="H1074" s="77" t="s">
        <v>564</v>
      </c>
      <c r="I1074" s="77" t="s">
        <v>992</v>
      </c>
      <c r="J1074" s="90">
        <v>50</v>
      </c>
      <c r="K1074" s="91">
        <v>1</v>
      </c>
      <c r="L1074" s="77" t="s">
        <v>6566</v>
      </c>
      <c r="M1074" s="78">
        <v>167.50800000000001</v>
      </c>
      <c r="N1074" s="79">
        <v>6.7249400000000001</v>
      </c>
      <c r="O1074" s="79">
        <v>0</v>
      </c>
      <c r="P1074" s="79">
        <v>0</v>
      </c>
      <c r="Q1074" s="77"/>
      <c r="R1074" s="77"/>
      <c r="S1074" s="77"/>
      <c r="T1074" s="77"/>
      <c r="U1074" s="77"/>
      <c r="V1074" s="87"/>
      <c r="W1074" s="87"/>
      <c r="X1074" s="87"/>
      <c r="Y1074" s="77"/>
      <c r="Z1074" s="88"/>
      <c r="AA1074" s="35"/>
      <c r="AB1074" s="35"/>
    </row>
    <row r="1075" spans="1:28" x14ac:dyDescent="0.25">
      <c r="A1075" s="68" t="str">
        <f t="shared" si="51"/>
        <v>557597</v>
      </c>
      <c r="B1075" s="10">
        <f t="shared" si="52"/>
        <v>167.50800000000001</v>
      </c>
      <c r="C1075" s="77" t="s">
        <v>6233</v>
      </c>
      <c r="D1075" s="191" t="str">
        <f t="shared" si="50"/>
        <v>V-StrongLumio LED pásek free cut COB 24V 12W/m(528 LED/m)8mm,bílá studená(544593</v>
      </c>
      <c r="E1075" s="77" t="s">
        <v>6234</v>
      </c>
      <c r="F1075" s="77" t="s">
        <v>610</v>
      </c>
      <c r="G1075" s="77" t="s">
        <v>611</v>
      </c>
      <c r="H1075" s="77" t="s">
        <v>612</v>
      </c>
      <c r="I1075" s="77" t="s">
        <v>992</v>
      </c>
      <c r="J1075" s="90">
        <v>50</v>
      </c>
      <c r="K1075" s="91">
        <v>1</v>
      </c>
      <c r="L1075" s="77" t="s">
        <v>6566</v>
      </c>
      <c r="M1075" s="78">
        <v>167.50800000000001</v>
      </c>
      <c r="N1075" s="79">
        <v>6.7249400000000001</v>
      </c>
      <c r="O1075" s="79">
        <v>0</v>
      </c>
      <c r="P1075" s="79">
        <v>0</v>
      </c>
      <c r="Q1075" s="77"/>
      <c r="R1075" s="77"/>
      <c r="S1075" s="77"/>
      <c r="T1075" s="77"/>
      <c r="U1075" s="77"/>
      <c r="V1075" s="87"/>
      <c r="W1075" s="87"/>
      <c r="X1075" s="87"/>
      <c r="Y1075" s="77"/>
      <c r="Z1075" s="88"/>
      <c r="AA1075" s="35"/>
      <c r="AB1075" s="35"/>
    </row>
    <row r="1076" spans="1:28" x14ac:dyDescent="0.25">
      <c r="A1076" s="68" t="str">
        <f t="shared" si="51"/>
        <v>551506</v>
      </c>
      <c r="B1076" s="10">
        <f t="shared" si="52"/>
        <v>167.50800000000001</v>
      </c>
      <c r="C1076" s="77" t="s">
        <v>5648</v>
      </c>
      <c r="D1076" s="191" t="str">
        <f t="shared" si="50"/>
        <v>V-StrongLumio LED pásek free cut COB 24V 12W/m, 8mm, bílá neutrální (544592)</v>
      </c>
      <c r="E1076" s="77" t="s">
        <v>4208</v>
      </c>
      <c r="F1076" s="77" t="s">
        <v>4209</v>
      </c>
      <c r="G1076" s="77" t="s">
        <v>4211</v>
      </c>
      <c r="H1076" s="77" t="s">
        <v>4210</v>
      </c>
      <c r="I1076" s="77" t="s">
        <v>992</v>
      </c>
      <c r="J1076" s="90">
        <v>50</v>
      </c>
      <c r="K1076" s="91">
        <v>0.5</v>
      </c>
      <c r="L1076" s="77" t="s">
        <v>6566</v>
      </c>
      <c r="M1076" s="78">
        <v>167.50800000000001</v>
      </c>
      <c r="N1076" s="79">
        <v>6.7249400000000001</v>
      </c>
      <c r="O1076" s="79">
        <v>0</v>
      </c>
      <c r="P1076" s="79">
        <v>0</v>
      </c>
      <c r="Q1076" s="77"/>
      <c r="R1076" s="77"/>
      <c r="S1076" s="77"/>
      <c r="T1076" s="77"/>
      <c r="U1076" s="77"/>
      <c r="V1076" s="87"/>
      <c r="W1076" s="87"/>
      <c r="X1076" s="87"/>
      <c r="Y1076" s="77"/>
      <c r="Z1076" s="88"/>
      <c r="AA1076" s="35"/>
      <c r="AB1076" s="35"/>
    </row>
    <row r="1077" spans="1:28" x14ac:dyDescent="0.25">
      <c r="A1077" s="68" t="str">
        <f t="shared" si="51"/>
        <v>557874</v>
      </c>
      <c r="B1077" s="10">
        <f t="shared" si="52"/>
        <v>336.82306</v>
      </c>
      <c r="C1077" s="77" t="s">
        <v>6310</v>
      </c>
      <c r="D1077" s="191" t="str">
        <f t="shared" si="50"/>
        <v>V-StrongLumio LED pásek neon "T" 4x10 mm 24V 9,6W (168 LED/m) bílá teplá(546649)</v>
      </c>
      <c r="E1077" s="77" t="s">
        <v>6311</v>
      </c>
      <c r="F1077" s="77" t="s">
        <v>6453</v>
      </c>
      <c r="G1077" s="77" t="s">
        <v>6454</v>
      </c>
      <c r="H1077" s="77" t="s">
        <v>643</v>
      </c>
      <c r="I1077" s="77" t="s">
        <v>992</v>
      </c>
      <c r="J1077" s="90">
        <v>5</v>
      </c>
      <c r="K1077" s="91">
        <v>1</v>
      </c>
      <c r="L1077" s="77" t="s">
        <v>6566</v>
      </c>
      <c r="M1077" s="78">
        <v>336.82306</v>
      </c>
      <c r="N1077" s="79">
        <v>14.03266</v>
      </c>
      <c r="O1077" s="79">
        <v>0</v>
      </c>
      <c r="P1077" s="79">
        <v>0</v>
      </c>
      <c r="Q1077" s="77"/>
      <c r="R1077" s="77"/>
      <c r="S1077" s="77"/>
      <c r="T1077" s="77"/>
      <c r="U1077" s="77"/>
      <c r="V1077" s="87"/>
      <c r="W1077" s="87"/>
      <c r="X1077" s="87"/>
      <c r="Y1077" s="77"/>
      <c r="Z1077" s="88"/>
      <c r="AA1077" s="35"/>
      <c r="AB1077" s="35"/>
    </row>
    <row r="1078" spans="1:28" x14ac:dyDescent="0.25">
      <c r="A1078" s="68" t="str">
        <f t="shared" si="51"/>
        <v>557873</v>
      </c>
      <c r="B1078" s="10">
        <f t="shared" si="52"/>
        <v>303.46357999999998</v>
      </c>
      <c r="C1078" s="77" t="s">
        <v>6308</v>
      </c>
      <c r="D1078" s="191" t="str">
        <f t="shared" si="50"/>
        <v>V-StrongLumio LED pásek neon 4x10 mm 24V 9,6W(168 LED/m)IP67 bílá teplá (546648)</v>
      </c>
      <c r="E1078" s="77" t="s">
        <v>6309</v>
      </c>
      <c r="F1078" s="77" t="s">
        <v>2131</v>
      </c>
      <c r="G1078" s="77" t="s">
        <v>6455</v>
      </c>
      <c r="H1078" s="77" t="s">
        <v>636</v>
      </c>
      <c r="I1078" s="77" t="s">
        <v>992</v>
      </c>
      <c r="J1078" s="90">
        <v>5</v>
      </c>
      <c r="K1078" s="91">
        <v>1</v>
      </c>
      <c r="L1078" s="77" t="s">
        <v>6566</v>
      </c>
      <c r="M1078" s="78">
        <v>303.46357999999998</v>
      </c>
      <c r="N1078" s="79">
        <v>12.64282</v>
      </c>
      <c r="O1078" s="79">
        <v>0</v>
      </c>
      <c r="P1078" s="79">
        <v>0</v>
      </c>
      <c r="Q1078" s="77"/>
      <c r="R1078" s="77"/>
      <c r="S1078" s="77"/>
      <c r="T1078" s="77"/>
      <c r="U1078" s="77"/>
      <c r="V1078" s="87"/>
      <c r="W1078" s="87"/>
      <c r="X1078" s="87"/>
      <c r="Y1078" s="77"/>
      <c r="Z1078" s="88"/>
      <c r="AA1078" s="35"/>
      <c r="AB1078" s="35"/>
    </row>
    <row r="1079" spans="1:28" x14ac:dyDescent="0.25">
      <c r="A1079" s="68" t="str">
        <f t="shared" si="51"/>
        <v>553693</v>
      </c>
      <c r="B1079" s="10">
        <f t="shared" si="52"/>
        <v>478.86984000000001</v>
      </c>
      <c r="C1079" s="77" t="s">
        <v>5649</v>
      </c>
      <c r="D1079" s="191" t="str">
        <f t="shared" si="50"/>
        <v>V-StrongLumio LED pásek neon 6x12 mm 24V 9,6W IP67 bílá neutrální (546626)</v>
      </c>
      <c r="E1079" s="77" t="s">
        <v>4212</v>
      </c>
      <c r="F1079" s="77" t="s">
        <v>4213</v>
      </c>
      <c r="G1079" s="77" t="s">
        <v>4215</v>
      </c>
      <c r="H1079" s="77" t="s">
        <v>4214</v>
      </c>
      <c r="I1079" s="77" t="s">
        <v>992</v>
      </c>
      <c r="J1079" s="90">
        <v>5</v>
      </c>
      <c r="K1079" s="91">
        <v>0.5</v>
      </c>
      <c r="L1079" s="77" t="s">
        <v>6566</v>
      </c>
      <c r="M1079" s="78">
        <v>478.86984000000001</v>
      </c>
      <c r="N1079" s="79">
        <v>19.950579999999999</v>
      </c>
      <c r="O1079" s="79">
        <v>0</v>
      </c>
      <c r="P1079" s="79">
        <v>0</v>
      </c>
      <c r="Q1079" s="77"/>
      <c r="R1079" s="77"/>
      <c r="S1079" s="77"/>
      <c r="T1079" s="77"/>
      <c r="U1079" s="77"/>
      <c r="V1079" s="87"/>
      <c r="W1079" s="87"/>
      <c r="X1079" s="87"/>
      <c r="Y1079" s="77"/>
      <c r="Z1079" s="88"/>
      <c r="AA1079" s="35"/>
      <c r="AB1079" s="35"/>
    </row>
    <row r="1080" spans="1:28" x14ac:dyDescent="0.25">
      <c r="A1080" s="68" t="str">
        <f t="shared" si="51"/>
        <v>557870</v>
      </c>
      <c r="B1080" s="10">
        <f t="shared" si="52"/>
        <v>478.86984000000001</v>
      </c>
      <c r="C1080" s="77" t="s">
        <v>6302</v>
      </c>
      <c r="D1080" s="191" t="str">
        <f t="shared" si="50"/>
        <v>V-StrongLumio LED pásek neon 6x12 mm 24V 9,6W(168 LED/m)IP67 bílá teplá (546625)</v>
      </c>
      <c r="E1080" s="77" t="s">
        <v>6303</v>
      </c>
      <c r="F1080" s="77" t="s">
        <v>2137</v>
      </c>
      <c r="G1080" s="77" t="s">
        <v>647</v>
      </c>
      <c r="H1080" s="77" t="s">
        <v>648</v>
      </c>
      <c r="I1080" s="77" t="s">
        <v>992</v>
      </c>
      <c r="J1080" s="90">
        <v>5</v>
      </c>
      <c r="K1080" s="91">
        <v>1</v>
      </c>
      <c r="L1080" s="77" t="s">
        <v>6566</v>
      </c>
      <c r="M1080" s="78">
        <v>478.86984000000001</v>
      </c>
      <c r="N1080" s="79">
        <v>19.950579999999999</v>
      </c>
      <c r="O1080" s="79">
        <v>0</v>
      </c>
      <c r="P1080" s="79">
        <v>0</v>
      </c>
      <c r="Q1080" s="77"/>
      <c r="R1080" s="77"/>
      <c r="S1080" s="77"/>
      <c r="T1080" s="77"/>
      <c r="U1080" s="77"/>
      <c r="V1080" s="87"/>
      <c r="W1080" s="87"/>
      <c r="X1080" s="87"/>
      <c r="Y1080" s="77"/>
      <c r="Z1080" s="88"/>
      <c r="AA1080" s="35"/>
      <c r="AB1080" s="35"/>
    </row>
    <row r="1081" spans="1:28" x14ac:dyDescent="0.25">
      <c r="A1081" s="68" t="str">
        <f t="shared" si="51"/>
        <v>557755</v>
      </c>
      <c r="B1081" s="10">
        <f t="shared" si="52"/>
        <v>282.53016000000002</v>
      </c>
      <c r="C1081" s="77" t="s">
        <v>6241</v>
      </c>
      <c r="D1081" s="191" t="str">
        <f t="shared" si="50"/>
        <v>V-StrongLumio LED pásek vysoká svítivost 24V 12W/m  8mm, bílá studená (544702)</v>
      </c>
      <c r="E1081" s="77" t="s">
        <v>6242</v>
      </c>
      <c r="F1081" s="77" t="s">
        <v>759</v>
      </c>
      <c r="G1081" s="77" t="s">
        <v>760</v>
      </c>
      <c r="H1081" s="77" t="s">
        <v>6456</v>
      </c>
      <c r="I1081" s="77" t="s">
        <v>992</v>
      </c>
      <c r="J1081" s="90">
        <v>50</v>
      </c>
      <c r="K1081" s="91">
        <v>1</v>
      </c>
      <c r="L1081" s="77" t="s">
        <v>6566</v>
      </c>
      <c r="M1081" s="78">
        <v>282.53016000000002</v>
      </c>
      <c r="N1081" s="79">
        <v>11.34271</v>
      </c>
      <c r="O1081" s="79">
        <v>0</v>
      </c>
      <c r="P1081" s="79">
        <v>0</v>
      </c>
      <c r="Q1081" s="77"/>
      <c r="R1081" s="77"/>
      <c r="S1081" s="77"/>
      <c r="T1081" s="77"/>
      <c r="U1081" s="77"/>
      <c r="V1081" s="87"/>
      <c r="W1081" s="87"/>
      <c r="X1081" s="87"/>
      <c r="Y1081" s="77"/>
      <c r="Z1081" s="88"/>
      <c r="AA1081" s="35"/>
      <c r="AB1081" s="35"/>
    </row>
    <row r="1082" spans="1:28" x14ac:dyDescent="0.25">
      <c r="A1082" s="68" t="str">
        <f t="shared" si="51"/>
        <v>557601</v>
      </c>
      <c r="B1082" s="10">
        <f t="shared" si="52"/>
        <v>282.53016000000002</v>
      </c>
      <c r="C1082" s="77" t="s">
        <v>6239</v>
      </c>
      <c r="D1082" s="191" t="str">
        <f t="shared" si="50"/>
        <v>V-StrongLumio LED pásek vysoká svítivost 24V 12W/m  8mm, bílá teplá (544598)</v>
      </c>
      <c r="E1082" s="77" t="s">
        <v>6240</v>
      </c>
      <c r="F1082" s="77" t="s">
        <v>755</v>
      </c>
      <c r="G1082" s="77" t="s">
        <v>756</v>
      </c>
      <c r="H1082" s="77" t="s">
        <v>6457</v>
      </c>
      <c r="I1082" s="77" t="s">
        <v>992</v>
      </c>
      <c r="J1082" s="90">
        <v>50</v>
      </c>
      <c r="K1082" s="91">
        <v>1</v>
      </c>
      <c r="L1082" s="77" t="s">
        <v>6566</v>
      </c>
      <c r="M1082" s="78">
        <v>282.53016000000002</v>
      </c>
      <c r="N1082" s="79">
        <v>11.34271</v>
      </c>
      <c r="O1082" s="79">
        <v>0</v>
      </c>
      <c r="P1082" s="79">
        <v>0</v>
      </c>
      <c r="Q1082" s="77"/>
      <c r="R1082" s="77"/>
      <c r="S1082" s="77"/>
      <c r="T1082" s="77"/>
      <c r="U1082" s="77"/>
      <c r="V1082" s="87"/>
      <c r="W1082" s="87"/>
      <c r="X1082" s="87"/>
      <c r="Y1082" s="77"/>
      <c r="Z1082" s="88"/>
      <c r="AA1082" s="35"/>
      <c r="AB1082" s="35"/>
    </row>
    <row r="1083" spans="1:28" x14ac:dyDescent="0.25">
      <c r="A1083" s="68" t="str">
        <f t="shared" si="51"/>
        <v>367684</v>
      </c>
      <c r="B1083" s="10">
        <f t="shared" si="52"/>
        <v>197.73599999999999</v>
      </c>
      <c r="C1083" s="77" t="s">
        <v>5650</v>
      </c>
      <c r="D1083" s="191" t="str">
        <f t="shared" si="50"/>
        <v>V-StrongLumio LED profil Belcore 2m stříbrný elox (342524)</v>
      </c>
      <c r="E1083" s="77" t="s">
        <v>4216</v>
      </c>
      <c r="F1083" s="77" t="s">
        <v>4217</v>
      </c>
      <c r="G1083" s="77" t="s">
        <v>4219</v>
      </c>
      <c r="H1083" s="77" t="s">
        <v>4218</v>
      </c>
      <c r="I1083" s="77" t="s">
        <v>795</v>
      </c>
      <c r="J1083" s="90">
        <v>1</v>
      </c>
      <c r="K1083" s="91">
        <v>1</v>
      </c>
      <c r="L1083" s="77" t="s">
        <v>160</v>
      </c>
      <c r="M1083" s="78">
        <v>197.73599999999999</v>
      </c>
      <c r="N1083" s="79">
        <v>9.0469100000000005</v>
      </c>
      <c r="O1083" s="79">
        <v>17.587900000000001</v>
      </c>
      <c r="P1083" s="79">
        <v>2987.4886299999998</v>
      </c>
      <c r="Q1083" s="77"/>
      <c r="R1083" s="77"/>
      <c r="S1083" s="77"/>
      <c r="T1083" s="77"/>
      <c r="U1083" s="77"/>
      <c r="V1083" s="87"/>
      <c r="W1083" s="87"/>
      <c r="X1083" s="87"/>
      <c r="Y1083" s="77"/>
      <c r="Z1083" s="88"/>
      <c r="AA1083" s="35"/>
      <c r="AB1083" s="35"/>
    </row>
    <row r="1084" spans="1:28" x14ac:dyDescent="0.25">
      <c r="A1084" s="68" t="str">
        <f t="shared" si="51"/>
        <v>365838</v>
      </c>
      <c r="B1084" s="10">
        <f t="shared" si="52"/>
        <v>8.5470000000000006</v>
      </c>
      <c r="C1084" s="77" t="s">
        <v>5651</v>
      </c>
      <c r="D1084" s="191" t="str">
        <f t="shared" si="50"/>
        <v>V-StrongLumio LED rohový spoj pájecí 10mm (342538)</v>
      </c>
      <c r="E1084" s="77" t="s">
        <v>4220</v>
      </c>
      <c r="F1084" s="77" t="s">
        <v>4221</v>
      </c>
      <c r="G1084" s="77" t="s">
        <v>4223</v>
      </c>
      <c r="H1084" s="77" t="s">
        <v>4222</v>
      </c>
      <c r="I1084" s="77" t="s">
        <v>795</v>
      </c>
      <c r="J1084" s="90">
        <v>1</v>
      </c>
      <c r="K1084" s="91">
        <v>1</v>
      </c>
      <c r="L1084" s="77" t="s">
        <v>6566</v>
      </c>
      <c r="M1084" s="78">
        <v>8.5470000000000006</v>
      </c>
      <c r="N1084" s="79">
        <v>0.38875999999999999</v>
      </c>
      <c r="O1084" s="79">
        <v>1.2882199999999999</v>
      </c>
      <c r="P1084" s="79">
        <v>140.79884999999999</v>
      </c>
      <c r="Q1084" s="77"/>
      <c r="R1084" s="77"/>
      <c r="S1084" s="77"/>
      <c r="T1084" s="77"/>
      <c r="U1084" s="77"/>
      <c r="V1084" s="87"/>
      <c r="W1084" s="87"/>
      <c r="X1084" s="87"/>
      <c r="Y1084" s="77"/>
      <c r="Z1084" s="88"/>
      <c r="AA1084" s="35"/>
      <c r="AB1084" s="35"/>
    </row>
    <row r="1085" spans="1:28" x14ac:dyDescent="0.25">
      <c r="A1085" s="68" t="str">
        <f t="shared" si="51"/>
        <v>365837</v>
      </c>
      <c r="B1085" s="10">
        <f t="shared" si="52"/>
        <v>7.6923000000000004</v>
      </c>
      <c r="C1085" s="77" t="s">
        <v>5652</v>
      </c>
      <c r="D1085" s="191" t="str">
        <f t="shared" si="50"/>
        <v>V-StrongLumio LED rohový spoj pájecí 8mm (342529)</v>
      </c>
      <c r="E1085" s="77" t="s">
        <v>4224</v>
      </c>
      <c r="F1085" s="77" t="s">
        <v>4225</v>
      </c>
      <c r="G1085" s="77" t="s">
        <v>4227</v>
      </c>
      <c r="H1085" s="77" t="s">
        <v>4226</v>
      </c>
      <c r="I1085" s="77" t="s">
        <v>795</v>
      </c>
      <c r="J1085" s="90">
        <v>1</v>
      </c>
      <c r="K1085" s="91">
        <v>1</v>
      </c>
      <c r="L1085" s="77" t="s">
        <v>6566</v>
      </c>
      <c r="M1085" s="78">
        <v>7.6923000000000004</v>
      </c>
      <c r="N1085" s="79">
        <v>0.34987000000000001</v>
      </c>
      <c r="O1085" s="79">
        <v>1.2557199999999999</v>
      </c>
      <c r="P1085" s="79">
        <v>126.71899000000001</v>
      </c>
      <c r="Q1085" s="77"/>
      <c r="R1085" s="77"/>
      <c r="S1085" s="77"/>
      <c r="T1085" s="77"/>
      <c r="U1085" s="77"/>
      <c r="V1085" s="87"/>
      <c r="W1085" s="87"/>
      <c r="X1085" s="87"/>
      <c r="Y1085" s="77"/>
      <c r="Z1085" s="88"/>
      <c r="AA1085" s="35"/>
      <c r="AB1085" s="35"/>
    </row>
    <row r="1086" spans="1:28" x14ac:dyDescent="0.25">
      <c r="A1086" s="68" t="str">
        <f t="shared" si="51"/>
        <v>513554</v>
      </c>
      <c r="B1086" s="10">
        <f t="shared" si="52"/>
        <v>332.64</v>
      </c>
      <c r="C1086" s="77" t="s">
        <v>5653</v>
      </c>
      <c r="D1086" s="191" t="str">
        <f t="shared" si="50"/>
        <v>V-StrongLumio LED vypínač do profilu 12/24V modrá LED kontrolka</v>
      </c>
      <c r="E1086" s="77" t="s">
        <v>4228</v>
      </c>
      <c r="F1086" s="77" t="s">
        <v>888</v>
      </c>
      <c r="G1086" s="77" t="s">
        <v>888</v>
      </c>
      <c r="H1086" s="77" t="s">
        <v>888</v>
      </c>
      <c r="I1086" s="77" t="s">
        <v>795</v>
      </c>
      <c r="J1086" s="90">
        <v>10</v>
      </c>
      <c r="K1086" s="91">
        <v>1</v>
      </c>
      <c r="L1086" s="77" t="s">
        <v>6566</v>
      </c>
      <c r="M1086" s="78">
        <v>332.64</v>
      </c>
      <c r="N1086" s="79">
        <v>14.241390000000001</v>
      </c>
      <c r="O1086" s="79">
        <v>49.369500000000002</v>
      </c>
      <c r="P1086" s="79">
        <v>4910.625</v>
      </c>
      <c r="Q1086" s="77"/>
      <c r="R1086" s="77"/>
      <c r="S1086" s="77"/>
      <c r="T1086" s="77"/>
      <c r="U1086" s="77"/>
      <c r="V1086" s="87"/>
      <c r="W1086" s="87"/>
      <c r="X1086" s="87"/>
      <c r="Y1086" s="77"/>
      <c r="Z1086" s="88"/>
      <c r="AA1086" s="35"/>
      <c r="AB1086" s="35"/>
    </row>
    <row r="1087" spans="1:28" x14ac:dyDescent="0.25">
      <c r="A1087" s="68" t="str">
        <f t="shared" si="51"/>
        <v>394332</v>
      </c>
      <c r="B1087" s="10">
        <f t="shared" si="52"/>
        <v>376.32</v>
      </c>
      <c r="C1087" s="77" t="s">
        <v>5654</v>
      </c>
      <c r="D1087" s="191" t="str">
        <f t="shared" si="50"/>
        <v>V-StrongLumio LED vypínač/stmívač do profilu 12/24V bez kontrolky (392223)</v>
      </c>
      <c r="E1087" s="77" t="s">
        <v>4229</v>
      </c>
      <c r="F1087" s="77" t="s">
        <v>4230</v>
      </c>
      <c r="G1087" s="77" t="s">
        <v>4232</v>
      </c>
      <c r="H1087" s="77" t="s">
        <v>4231</v>
      </c>
      <c r="I1087" s="77" t="s">
        <v>795</v>
      </c>
      <c r="J1087" s="90">
        <v>10</v>
      </c>
      <c r="K1087" s="91">
        <v>1</v>
      </c>
      <c r="L1087" s="77" t="s">
        <v>6566</v>
      </c>
      <c r="M1087" s="78">
        <v>376.32</v>
      </c>
      <c r="N1087" s="79">
        <v>16.111470000000001</v>
      </c>
      <c r="O1087" s="79">
        <v>55.852370000000001</v>
      </c>
      <c r="P1087" s="79">
        <v>4910.625</v>
      </c>
      <c r="Q1087" s="77"/>
      <c r="R1087" s="77"/>
      <c r="S1087" s="77"/>
      <c r="T1087" s="77"/>
      <c r="U1087" s="77"/>
      <c r="V1087" s="87"/>
      <c r="W1087" s="87"/>
      <c r="X1087" s="87"/>
      <c r="Y1087" s="77"/>
      <c r="Z1087" s="88"/>
      <c r="AA1087" s="35"/>
      <c r="AB1087" s="35"/>
    </row>
    <row r="1088" spans="1:28" x14ac:dyDescent="0.25">
      <c r="A1088" s="68" t="str">
        <f t="shared" si="51"/>
        <v>216253</v>
      </c>
      <c r="B1088" s="10">
        <f t="shared" si="52"/>
        <v>376.32</v>
      </c>
      <c r="C1088" s="77" t="s">
        <v>5655</v>
      </c>
      <c r="D1088" s="191" t="str">
        <f t="shared" si="50"/>
        <v>V-StrongLumio LED vypínač/stmívač do profilu 12/24V modrá LED kontrolka (215772)</v>
      </c>
      <c r="E1088" s="77" t="s">
        <v>4233</v>
      </c>
      <c r="F1088" s="77" t="s">
        <v>4234</v>
      </c>
      <c r="G1088" s="77" t="s">
        <v>4236</v>
      </c>
      <c r="H1088" s="77" t="s">
        <v>4235</v>
      </c>
      <c r="I1088" s="77" t="s">
        <v>795</v>
      </c>
      <c r="J1088" s="90">
        <v>500</v>
      </c>
      <c r="K1088" s="91">
        <v>1</v>
      </c>
      <c r="L1088" s="77" t="s">
        <v>6566</v>
      </c>
      <c r="M1088" s="78">
        <v>376.32</v>
      </c>
      <c r="N1088" s="79">
        <v>16.111470000000001</v>
      </c>
      <c r="O1088" s="79">
        <v>46.973080000000003</v>
      </c>
      <c r="P1088" s="79">
        <v>4910.625</v>
      </c>
      <c r="Q1088" s="77"/>
      <c r="R1088" s="77"/>
      <c r="S1088" s="77"/>
      <c r="T1088" s="77"/>
      <c r="U1088" s="77"/>
      <c r="V1088" s="87"/>
      <c r="W1088" s="87"/>
      <c r="X1088" s="87"/>
      <c r="Y1088" s="77"/>
      <c r="Z1088" s="88"/>
      <c r="AA1088" s="35"/>
      <c r="AB1088" s="35"/>
    </row>
    <row r="1089" spans="1:28" x14ac:dyDescent="0.25">
      <c r="A1089" s="68" t="str">
        <f t="shared" si="51"/>
        <v>216252</v>
      </c>
      <c r="B1089" s="10">
        <f t="shared" si="52"/>
        <v>376.32</v>
      </c>
      <c r="C1089" s="77" t="s">
        <v>5656</v>
      </c>
      <c r="D1089" s="191" t="str">
        <f t="shared" si="50"/>
        <v>V-StrongLumio LED vypínač/stmívač do profilu 12/24V žlutá LED kontrolka (215666)</v>
      </c>
      <c r="E1089" s="77" t="s">
        <v>4237</v>
      </c>
      <c r="F1089" s="77" t="s">
        <v>4238</v>
      </c>
      <c r="G1089" s="77" t="s">
        <v>4240</v>
      </c>
      <c r="H1089" s="77" t="s">
        <v>4239</v>
      </c>
      <c r="I1089" s="77" t="s">
        <v>795</v>
      </c>
      <c r="J1089" s="90">
        <v>500</v>
      </c>
      <c r="K1089" s="91">
        <v>1</v>
      </c>
      <c r="L1089" s="77" t="s">
        <v>6566</v>
      </c>
      <c r="M1089" s="78">
        <v>376.32</v>
      </c>
      <c r="N1089" s="79">
        <v>16.111470000000001</v>
      </c>
      <c r="O1089" s="79">
        <v>46.973080000000003</v>
      </c>
      <c r="P1089" s="79">
        <v>4910.625</v>
      </c>
      <c r="Q1089" s="77"/>
      <c r="R1089" s="77"/>
      <c r="S1089" s="77"/>
      <c r="T1089" s="77"/>
      <c r="U1089" s="77"/>
      <c r="V1089" s="87"/>
      <c r="W1089" s="87"/>
      <c r="X1089" s="87"/>
      <c r="Y1089" s="77"/>
      <c r="Z1089" s="88"/>
      <c r="AA1089" s="35"/>
      <c r="AB1089" s="35"/>
    </row>
    <row r="1090" spans="1:28" x14ac:dyDescent="0.25">
      <c r="A1090" s="68" t="str">
        <f t="shared" si="51"/>
        <v>499489</v>
      </c>
      <c r="B1090" s="10">
        <f t="shared" si="52"/>
        <v>350.94779999999997</v>
      </c>
      <c r="C1090" s="77" t="s">
        <v>5657</v>
      </c>
      <c r="D1090" s="191" t="str">
        <f t="shared" si="50"/>
        <v>V-StrongLumio lepící páska oboustr. 12mm pro LED profily super silná 5m (467484)</v>
      </c>
      <c r="E1090" s="77" t="s">
        <v>4241</v>
      </c>
      <c r="F1090" s="77" t="s">
        <v>4242</v>
      </c>
      <c r="G1090" s="77" t="s">
        <v>4244</v>
      </c>
      <c r="H1090" s="77" t="s">
        <v>4243</v>
      </c>
      <c r="I1090" s="77" t="s">
        <v>795</v>
      </c>
      <c r="J1090" s="90">
        <v>1</v>
      </c>
      <c r="K1090" s="91">
        <v>0.1</v>
      </c>
      <c r="L1090" s="77" t="s">
        <v>6566</v>
      </c>
      <c r="M1090" s="78">
        <v>350.94779999999997</v>
      </c>
      <c r="N1090" s="79">
        <v>13.87176</v>
      </c>
      <c r="O1090" s="79">
        <v>35.381489999999999</v>
      </c>
      <c r="P1090" s="79">
        <v>4973.7499900000003</v>
      </c>
      <c r="Q1090" s="77"/>
      <c r="R1090" s="77"/>
      <c r="S1090" s="77"/>
      <c r="T1090" s="77"/>
      <c r="U1090" s="77"/>
      <c r="V1090" s="87"/>
      <c r="W1090" s="87"/>
      <c r="X1090" s="87"/>
      <c r="Y1090" s="77"/>
      <c r="Z1090" s="88"/>
      <c r="AA1090" s="35"/>
      <c r="AB1090" s="35"/>
    </row>
    <row r="1091" spans="1:28" x14ac:dyDescent="0.25">
      <c r="A1091" s="68" t="str">
        <f t="shared" si="51"/>
        <v>504213</v>
      </c>
      <c r="B1091" s="10">
        <f t="shared" si="52"/>
        <v>1021.4001</v>
      </c>
      <c r="C1091" s="77" t="s">
        <v>5658</v>
      </c>
      <c r="D1091" s="191" t="str">
        <f t="shared" ref="D1091:D1154" si="53">IF($B$1=1,E1091,IF($B$1=2,F1091,IF($B$1=3,G1091,IF($B$1=4,H1091))))</f>
        <v>V-StrongLumio lepící páska oboustranná  pro LED profily super silná 25m (471803)</v>
      </c>
      <c r="E1091" s="77" t="s">
        <v>4245</v>
      </c>
      <c r="F1091" s="77" t="s">
        <v>4246</v>
      </c>
      <c r="G1091" s="77" t="s">
        <v>4248</v>
      </c>
      <c r="H1091" s="77" t="s">
        <v>4247</v>
      </c>
      <c r="I1091" s="77" t="s">
        <v>795</v>
      </c>
      <c r="J1091" s="90">
        <v>1</v>
      </c>
      <c r="K1091" s="91">
        <v>0.01</v>
      </c>
      <c r="L1091" s="77" t="s">
        <v>6566</v>
      </c>
      <c r="M1091" s="78">
        <v>1021.4001</v>
      </c>
      <c r="N1091" s="79">
        <v>40.263890000000004</v>
      </c>
      <c r="O1091" s="79">
        <v>107.18783999999999</v>
      </c>
      <c r="P1091" s="79">
        <v>14475.62501</v>
      </c>
      <c r="Q1091" s="77"/>
      <c r="R1091" s="77"/>
      <c r="S1091" s="77"/>
      <c r="T1091" s="77"/>
      <c r="U1091" s="77"/>
      <c r="V1091" s="87"/>
      <c r="W1091" s="87"/>
      <c r="X1091" s="87"/>
      <c r="Y1091" s="77"/>
      <c r="Z1091" s="88"/>
      <c r="AA1091" s="35"/>
      <c r="AB1091" s="35"/>
    </row>
    <row r="1092" spans="1:28" x14ac:dyDescent="0.25">
      <c r="A1092" s="68" t="str">
        <f t="shared" si="51"/>
        <v>557765</v>
      </c>
      <c r="B1092" s="10">
        <f t="shared" si="52"/>
        <v>230.61359999999999</v>
      </c>
      <c r="C1092" s="77" t="s">
        <v>6259</v>
      </c>
      <c r="D1092" s="191" t="str">
        <f t="shared" si="53"/>
        <v>V-StrongLumio magnetický senzor pro dveřní vypínač (546602)</v>
      </c>
      <c r="E1092" s="77" t="s">
        <v>6260</v>
      </c>
      <c r="F1092" s="77" t="s">
        <v>2182</v>
      </c>
      <c r="G1092" s="77" t="s">
        <v>2183</v>
      </c>
      <c r="H1092" s="77" t="s">
        <v>6459</v>
      </c>
      <c r="I1092" s="77" t="s">
        <v>795</v>
      </c>
      <c r="J1092" s="90">
        <v>1</v>
      </c>
      <c r="K1092" s="91">
        <v>1</v>
      </c>
      <c r="L1092" s="77" t="s">
        <v>6566</v>
      </c>
      <c r="M1092" s="78">
        <v>230.61359999999999</v>
      </c>
      <c r="N1092" s="79">
        <v>10.53153</v>
      </c>
      <c r="O1092" s="79">
        <v>0</v>
      </c>
      <c r="P1092" s="79">
        <v>0</v>
      </c>
      <c r="Q1092" s="77"/>
      <c r="R1092" s="77"/>
      <c r="S1092" s="77"/>
      <c r="T1092" s="77"/>
      <c r="U1092" s="77"/>
      <c r="V1092" s="87"/>
      <c r="W1092" s="87"/>
      <c r="X1092" s="87"/>
      <c r="Y1092" s="77"/>
      <c r="Z1092" s="88"/>
      <c r="AA1092" s="35"/>
      <c r="AB1092" s="35"/>
    </row>
    <row r="1093" spans="1:28" x14ac:dyDescent="0.25">
      <c r="A1093" s="68" t="str">
        <f t="shared" si="51"/>
        <v>516759</v>
      </c>
      <c r="B1093" s="10">
        <f t="shared" si="52"/>
        <v>11.81817</v>
      </c>
      <c r="C1093" s="77" t="s">
        <v>5659</v>
      </c>
      <c r="D1093" s="191" t="str">
        <f t="shared" si="53"/>
        <v>V-StrongLumio napájecí DC zdířka 2,1mm se svorkovnicí (381175)</v>
      </c>
      <c r="E1093" s="77" t="s">
        <v>4249</v>
      </c>
      <c r="F1093" s="77" t="s">
        <v>4250</v>
      </c>
      <c r="G1093" s="77" t="s">
        <v>4252</v>
      </c>
      <c r="H1093" s="77" t="s">
        <v>4251</v>
      </c>
      <c r="I1093" s="77" t="s">
        <v>795</v>
      </c>
      <c r="J1093" s="90">
        <v>100</v>
      </c>
      <c r="K1093" s="91">
        <v>1</v>
      </c>
      <c r="L1093" s="77" t="s">
        <v>6566</v>
      </c>
      <c r="M1093" s="78">
        <v>11.81817</v>
      </c>
      <c r="N1093" s="79">
        <v>0.27987000000000001</v>
      </c>
      <c r="O1093" s="79">
        <v>0.98768999999999996</v>
      </c>
      <c r="P1093" s="79">
        <v>101.37518</v>
      </c>
      <c r="Q1093" s="77"/>
      <c r="R1093" s="77"/>
      <c r="S1093" s="77"/>
      <c r="T1093" s="77"/>
      <c r="U1093" s="77"/>
      <c r="V1093" s="87"/>
      <c r="W1093" s="87"/>
      <c r="X1093" s="87"/>
      <c r="Y1093" s="77"/>
      <c r="Z1093" s="88"/>
      <c r="AA1093" s="35"/>
      <c r="AB1093" s="35"/>
    </row>
    <row r="1094" spans="1:28" x14ac:dyDescent="0.25">
      <c r="A1094" s="68" t="str">
        <f t="shared" si="51"/>
        <v>510806</v>
      </c>
      <c r="B1094" s="10">
        <f t="shared" si="52"/>
        <v>497.24928</v>
      </c>
      <c r="C1094" s="77" t="s">
        <v>5660</v>
      </c>
      <c r="D1094" s="191" t="str">
        <f t="shared" si="53"/>
        <v>V-StrongLumio napájecí zdroj 24V-36W (6x mini konektor + 1x 3PIN sens.) (484188)</v>
      </c>
      <c r="E1094" s="77" t="s">
        <v>4253</v>
      </c>
      <c r="F1094" s="77" t="s">
        <v>4254</v>
      </c>
      <c r="G1094" s="77" t="s">
        <v>4256</v>
      </c>
      <c r="H1094" s="77" t="s">
        <v>4255</v>
      </c>
      <c r="I1094" s="77" t="s">
        <v>795</v>
      </c>
      <c r="J1094" s="90">
        <v>1</v>
      </c>
      <c r="K1094" s="91">
        <v>1</v>
      </c>
      <c r="L1094" s="77" t="s">
        <v>6566</v>
      </c>
      <c r="M1094" s="78">
        <v>497.24928</v>
      </c>
      <c r="N1094" s="79">
        <v>19.732099999999999</v>
      </c>
      <c r="O1094" s="79">
        <v>67.830860000000001</v>
      </c>
      <c r="P1094" s="79">
        <v>7364.1623499999996</v>
      </c>
      <c r="Q1094" s="77"/>
      <c r="R1094" s="77"/>
      <c r="S1094" s="77"/>
      <c r="T1094" s="77"/>
      <c r="U1094" s="77"/>
      <c r="V1094" s="87"/>
      <c r="W1094" s="87"/>
      <c r="X1094" s="87"/>
      <c r="Y1094" s="77"/>
      <c r="Z1094" s="88"/>
      <c r="AA1094" s="35"/>
      <c r="AB1094" s="35"/>
    </row>
    <row r="1095" spans="1:28" x14ac:dyDescent="0.25">
      <c r="A1095" s="68" t="str">
        <f t="shared" si="51"/>
        <v>308950</v>
      </c>
      <c r="B1095" s="10">
        <f t="shared" si="52"/>
        <v>844.75216</v>
      </c>
      <c r="C1095" s="77" t="s">
        <v>5661</v>
      </c>
      <c r="D1095" s="191" t="str">
        <f t="shared" si="53"/>
        <v>V-StrongLumio napájecí zdroj plochý LED 24V 100W (284624)</v>
      </c>
      <c r="E1095" s="77" t="s">
        <v>4257</v>
      </c>
      <c r="F1095" s="77" t="s">
        <v>4258</v>
      </c>
      <c r="G1095" s="77" t="s">
        <v>4260</v>
      </c>
      <c r="H1095" s="77" t="s">
        <v>4259</v>
      </c>
      <c r="I1095" s="77" t="s">
        <v>795</v>
      </c>
      <c r="J1095" s="90">
        <v>20</v>
      </c>
      <c r="K1095" s="91">
        <v>1</v>
      </c>
      <c r="L1095" s="77" t="s">
        <v>6566</v>
      </c>
      <c r="M1095" s="78">
        <v>844.75216</v>
      </c>
      <c r="N1095" s="79">
        <v>35.463929999999998</v>
      </c>
      <c r="O1095" s="79">
        <v>117.41103</v>
      </c>
      <c r="P1095" s="79">
        <v>10065</v>
      </c>
      <c r="Q1095" s="77"/>
      <c r="R1095" s="77"/>
      <c r="S1095" s="77"/>
      <c r="T1095" s="77"/>
      <c r="U1095" s="77"/>
      <c r="V1095" s="87"/>
      <c r="W1095" s="87"/>
      <c r="X1095" s="87"/>
      <c r="Y1095" s="77"/>
      <c r="Z1095" s="88"/>
      <c r="AA1095" s="35"/>
      <c r="AB1095" s="35"/>
    </row>
    <row r="1096" spans="1:28" x14ac:dyDescent="0.25">
      <c r="A1096" s="68" t="str">
        <f t="shared" si="51"/>
        <v>557762</v>
      </c>
      <c r="B1096" s="10">
        <f t="shared" si="52"/>
        <v>1249.8884</v>
      </c>
      <c r="C1096" s="77" t="s">
        <v>6253</v>
      </c>
      <c r="D1096" s="191" t="str">
        <f t="shared" si="53"/>
        <v>V-StrongLumio napájecí zdroj plochý pro LED 12V - 150W (544904)</v>
      </c>
      <c r="E1096" s="77" t="s">
        <v>6254</v>
      </c>
      <c r="F1096" s="77" t="s">
        <v>2224</v>
      </c>
      <c r="G1096" s="77" t="s">
        <v>2226</v>
      </c>
      <c r="H1096" s="77" t="s">
        <v>2225</v>
      </c>
      <c r="I1096" s="77" t="s">
        <v>795</v>
      </c>
      <c r="J1096" s="90">
        <v>20</v>
      </c>
      <c r="K1096" s="91">
        <v>1</v>
      </c>
      <c r="L1096" s="77" t="s">
        <v>6566</v>
      </c>
      <c r="M1096" s="78">
        <v>1249.8884</v>
      </c>
      <c r="N1096" s="79">
        <v>52.472180000000002</v>
      </c>
      <c r="O1096" s="79">
        <v>0</v>
      </c>
      <c r="P1096" s="79">
        <v>0</v>
      </c>
      <c r="Q1096" s="77"/>
      <c r="R1096" s="77"/>
      <c r="S1096" s="77"/>
      <c r="T1096" s="77"/>
      <c r="U1096" s="77"/>
      <c r="V1096" s="87"/>
      <c r="W1096" s="87"/>
      <c r="X1096" s="87"/>
      <c r="Y1096" s="77"/>
      <c r="Z1096" s="88"/>
      <c r="AA1096" s="35"/>
      <c r="AB1096" s="35"/>
    </row>
    <row r="1097" spans="1:28" x14ac:dyDescent="0.25">
      <c r="A1097" s="68" t="str">
        <f t="shared" si="51"/>
        <v>557761</v>
      </c>
      <c r="B1097" s="10">
        <f t="shared" si="52"/>
        <v>534.43503999999996</v>
      </c>
      <c r="C1097" s="77" t="s">
        <v>6251</v>
      </c>
      <c r="D1097" s="191" t="str">
        <f t="shared" si="53"/>
        <v>V-StrongLumio napájecí zdroj plochý pro LED 12V - 50W (544903)</v>
      </c>
      <c r="E1097" s="77" t="s">
        <v>6252</v>
      </c>
      <c r="F1097" s="77" t="s">
        <v>2228</v>
      </c>
      <c r="G1097" s="77" t="s">
        <v>2230</v>
      </c>
      <c r="H1097" s="77" t="s">
        <v>2229</v>
      </c>
      <c r="I1097" s="77" t="s">
        <v>795</v>
      </c>
      <c r="J1097" s="90">
        <v>50</v>
      </c>
      <c r="K1097" s="91">
        <v>1</v>
      </c>
      <c r="L1097" s="77" t="s">
        <v>6566</v>
      </c>
      <c r="M1097" s="78">
        <v>534.43503999999996</v>
      </c>
      <c r="N1097" s="79">
        <v>22.436399999999999</v>
      </c>
      <c r="O1097" s="79">
        <v>0</v>
      </c>
      <c r="P1097" s="79">
        <v>0</v>
      </c>
      <c r="Q1097" s="77"/>
      <c r="R1097" s="77"/>
      <c r="S1097" s="77"/>
      <c r="T1097" s="77"/>
      <c r="U1097" s="77"/>
      <c r="V1097" s="87"/>
      <c r="W1097" s="87"/>
      <c r="X1097" s="87"/>
      <c r="Y1097" s="77"/>
      <c r="Z1097" s="88"/>
      <c r="AA1097" s="35"/>
      <c r="AB1097" s="35"/>
    </row>
    <row r="1098" spans="1:28" x14ac:dyDescent="0.25">
      <c r="A1098" s="68" t="str">
        <f t="shared" si="51"/>
        <v>416642</v>
      </c>
      <c r="B1098" s="10">
        <f t="shared" si="52"/>
        <v>844.75216</v>
      </c>
      <c r="C1098" s="77" t="s">
        <v>5662</v>
      </c>
      <c r="D1098" s="191" t="str">
        <f t="shared" si="53"/>
        <v>V-StrongLumio napájecí zdroj plochý pro LED 12V 100W (405187)</v>
      </c>
      <c r="E1098" s="77" t="s">
        <v>4261</v>
      </c>
      <c r="F1098" s="77" t="s">
        <v>4262</v>
      </c>
      <c r="G1098" s="77" t="s">
        <v>4264</v>
      </c>
      <c r="H1098" s="77" t="s">
        <v>4263</v>
      </c>
      <c r="I1098" s="77" t="s">
        <v>795</v>
      </c>
      <c r="J1098" s="90">
        <v>20</v>
      </c>
      <c r="K1098" s="91">
        <v>1</v>
      </c>
      <c r="L1098" s="77" t="s">
        <v>6566</v>
      </c>
      <c r="M1098" s="78">
        <v>844.75216</v>
      </c>
      <c r="N1098" s="79">
        <v>35.463929999999998</v>
      </c>
      <c r="O1098" s="79">
        <v>192.98175000000001</v>
      </c>
      <c r="P1098" s="79">
        <v>10065</v>
      </c>
      <c r="Q1098" s="77"/>
      <c r="R1098" s="77"/>
      <c r="S1098" s="77"/>
      <c r="T1098" s="77"/>
      <c r="U1098" s="77"/>
      <c r="V1098" s="87"/>
      <c r="W1098" s="87"/>
      <c r="X1098" s="87"/>
      <c r="Y1098" s="77"/>
      <c r="Z1098" s="88"/>
      <c r="AA1098" s="35"/>
      <c r="AB1098" s="35"/>
    </row>
    <row r="1099" spans="1:28" x14ac:dyDescent="0.25">
      <c r="A1099" s="68" t="str">
        <f t="shared" si="51"/>
        <v>416637</v>
      </c>
      <c r="B1099" s="10">
        <f t="shared" si="52"/>
        <v>357.80799999999999</v>
      </c>
      <c r="C1099" s="77" t="s">
        <v>5663</v>
      </c>
      <c r="D1099" s="191" t="str">
        <f t="shared" si="53"/>
        <v>V-StrongLumio napájecí zdroj plochý pro LED 12V 15W (405183)</v>
      </c>
      <c r="E1099" s="77" t="s">
        <v>4265</v>
      </c>
      <c r="F1099" s="77" t="s">
        <v>4266</v>
      </c>
      <c r="G1099" s="77" t="s">
        <v>4268</v>
      </c>
      <c r="H1099" s="77" t="s">
        <v>4267</v>
      </c>
      <c r="I1099" s="77" t="s">
        <v>795</v>
      </c>
      <c r="J1099" s="90">
        <v>50</v>
      </c>
      <c r="K1099" s="91">
        <v>1</v>
      </c>
      <c r="L1099" s="77" t="s">
        <v>6566</v>
      </c>
      <c r="M1099" s="78">
        <v>357.80799999999999</v>
      </c>
      <c r="N1099" s="79">
        <v>14.96002</v>
      </c>
      <c r="O1099" s="79">
        <v>39.143929999999997</v>
      </c>
      <c r="P1099" s="79">
        <v>3340</v>
      </c>
      <c r="Q1099" s="77"/>
      <c r="R1099" s="77"/>
      <c r="S1099" s="77"/>
      <c r="T1099" s="77"/>
      <c r="U1099" s="77"/>
      <c r="V1099" s="87"/>
      <c r="W1099" s="87"/>
      <c r="X1099" s="87"/>
      <c r="Y1099" s="77"/>
      <c r="Z1099" s="88"/>
      <c r="AA1099" s="35"/>
      <c r="AB1099" s="35"/>
    </row>
    <row r="1100" spans="1:28" x14ac:dyDescent="0.25">
      <c r="A1100" s="68" t="str">
        <f t="shared" si="51"/>
        <v>416638</v>
      </c>
      <c r="B1100" s="10">
        <f t="shared" si="52"/>
        <v>418.06612000000001</v>
      </c>
      <c r="C1100" s="77" t="s">
        <v>5664</v>
      </c>
      <c r="D1100" s="191" t="str">
        <f t="shared" si="53"/>
        <v>V-StrongLumio napájecí zdroj plochý pro LED 12V 30W (405184)</v>
      </c>
      <c r="E1100" s="77" t="s">
        <v>4269</v>
      </c>
      <c r="F1100" s="77" t="s">
        <v>4270</v>
      </c>
      <c r="G1100" s="77" t="s">
        <v>4272</v>
      </c>
      <c r="H1100" s="77" t="s">
        <v>4271</v>
      </c>
      <c r="I1100" s="77" t="s">
        <v>795</v>
      </c>
      <c r="J1100" s="90">
        <v>50</v>
      </c>
      <c r="K1100" s="91">
        <v>1</v>
      </c>
      <c r="L1100" s="77" t="s">
        <v>6566</v>
      </c>
      <c r="M1100" s="78">
        <v>418.06612000000001</v>
      </c>
      <c r="N1100" s="79">
        <v>17.551030000000001</v>
      </c>
      <c r="O1100" s="79">
        <v>54.886580000000002</v>
      </c>
      <c r="P1100" s="79">
        <v>4419</v>
      </c>
      <c r="Q1100" s="77"/>
      <c r="R1100" s="77"/>
      <c r="S1100" s="77"/>
      <c r="T1100" s="77"/>
      <c r="U1100" s="77"/>
      <c r="V1100" s="87"/>
      <c r="W1100" s="87"/>
      <c r="X1100" s="87"/>
      <c r="Y1100" s="77"/>
      <c r="Z1100" s="88"/>
      <c r="AA1100" s="35"/>
      <c r="AB1100" s="35"/>
    </row>
    <row r="1101" spans="1:28" x14ac:dyDescent="0.25">
      <c r="A1101" s="68" t="str">
        <f t="shared" si="51"/>
        <v>416639</v>
      </c>
      <c r="B1101" s="10">
        <f t="shared" si="52"/>
        <v>617.21879999999999</v>
      </c>
      <c r="C1101" s="77" t="s">
        <v>5665</v>
      </c>
      <c r="D1101" s="191" t="str">
        <f t="shared" si="53"/>
        <v>V-StrongLumio napájecí zdroj plochý pro LED 12V 60W (405185)</v>
      </c>
      <c r="E1101" s="77" t="s">
        <v>4273</v>
      </c>
      <c r="F1101" s="77" t="s">
        <v>4274</v>
      </c>
      <c r="G1101" s="77" t="s">
        <v>4276</v>
      </c>
      <c r="H1101" s="77" t="s">
        <v>4275</v>
      </c>
      <c r="I1101" s="77" t="s">
        <v>795</v>
      </c>
      <c r="J1101" s="90">
        <v>20</v>
      </c>
      <c r="K1101" s="91">
        <v>1</v>
      </c>
      <c r="L1101" s="77" t="s">
        <v>6566</v>
      </c>
      <c r="M1101" s="78">
        <v>617.21879999999999</v>
      </c>
      <c r="N1101" s="79">
        <v>25.805990000000001</v>
      </c>
      <c r="O1101" s="79">
        <v>83.762180000000001</v>
      </c>
      <c r="P1101" s="79">
        <v>7852.8272800000004</v>
      </c>
      <c r="Q1101" s="77"/>
      <c r="R1101" s="77"/>
      <c r="S1101" s="77"/>
      <c r="T1101" s="77"/>
      <c r="U1101" s="77"/>
      <c r="V1101" s="87"/>
      <c r="W1101" s="87"/>
      <c r="X1101" s="87"/>
      <c r="Y1101" s="77"/>
      <c r="Z1101" s="88"/>
      <c r="AA1101" s="35"/>
      <c r="AB1101" s="35"/>
    </row>
    <row r="1102" spans="1:28" x14ac:dyDescent="0.25">
      <c r="A1102" s="68" t="str">
        <f t="shared" si="51"/>
        <v>416640</v>
      </c>
      <c r="B1102" s="10">
        <f t="shared" si="52"/>
        <v>769.28719999999998</v>
      </c>
      <c r="C1102" s="77" t="s">
        <v>5666</v>
      </c>
      <c r="D1102" s="191" t="str">
        <f t="shared" si="53"/>
        <v>V-StrongLumio napájecí zdroj plochý pro LED 12V 75W (405186)</v>
      </c>
      <c r="E1102" s="77" t="s">
        <v>4277</v>
      </c>
      <c r="F1102" s="77" t="s">
        <v>4278</v>
      </c>
      <c r="G1102" s="77" t="s">
        <v>4280</v>
      </c>
      <c r="H1102" s="77" t="s">
        <v>4279</v>
      </c>
      <c r="I1102" s="77" t="s">
        <v>795</v>
      </c>
      <c r="J1102" s="90">
        <v>20</v>
      </c>
      <c r="K1102" s="91">
        <v>1</v>
      </c>
      <c r="L1102" s="77" t="s">
        <v>6566</v>
      </c>
      <c r="M1102" s="78">
        <v>769.28719999999998</v>
      </c>
      <c r="N1102" s="79">
        <v>32.164020000000001</v>
      </c>
      <c r="O1102" s="79">
        <v>87.408500000000004</v>
      </c>
      <c r="P1102" s="79">
        <v>7460</v>
      </c>
      <c r="Q1102" s="77"/>
      <c r="R1102" s="77"/>
      <c r="S1102" s="77"/>
      <c r="T1102" s="77"/>
      <c r="U1102" s="77"/>
      <c r="V1102" s="87"/>
      <c r="W1102" s="87"/>
      <c r="X1102" s="87"/>
      <c r="Y1102" s="77"/>
      <c r="Z1102" s="88"/>
      <c r="AA1102" s="35"/>
      <c r="AB1102" s="35"/>
    </row>
    <row r="1103" spans="1:28" x14ac:dyDescent="0.25">
      <c r="A1103" s="68" t="str">
        <f t="shared" si="51"/>
        <v>557763</v>
      </c>
      <c r="B1103" s="10">
        <f t="shared" si="52"/>
        <v>1180.92904</v>
      </c>
      <c r="C1103" s="77" t="s">
        <v>6255</v>
      </c>
      <c r="D1103" s="191" t="str">
        <f t="shared" si="53"/>
        <v>V-StrongLumio napájecí zdroj plochý pro LED 24V - 150W (544906)</v>
      </c>
      <c r="E1103" s="77" t="s">
        <v>6256</v>
      </c>
      <c r="F1103" s="77" t="s">
        <v>2252</v>
      </c>
      <c r="G1103" s="77" t="s">
        <v>2254</v>
      </c>
      <c r="H1103" s="77" t="s">
        <v>2253</v>
      </c>
      <c r="I1103" s="77" t="s">
        <v>795</v>
      </c>
      <c r="J1103" s="90">
        <v>20</v>
      </c>
      <c r="K1103" s="91">
        <v>1</v>
      </c>
      <c r="L1103" s="77" t="s">
        <v>6566</v>
      </c>
      <c r="M1103" s="78">
        <v>1180.92904</v>
      </c>
      <c r="N1103" s="79">
        <v>49.577150000000003</v>
      </c>
      <c r="O1103" s="79">
        <v>0</v>
      </c>
      <c r="P1103" s="79">
        <v>0</v>
      </c>
      <c r="Q1103" s="77"/>
      <c r="R1103" s="77"/>
      <c r="S1103" s="77"/>
      <c r="T1103" s="77"/>
      <c r="U1103" s="77"/>
      <c r="V1103" s="87"/>
      <c r="W1103" s="87"/>
      <c r="X1103" s="87"/>
      <c r="Y1103" s="77"/>
      <c r="Z1103" s="88"/>
      <c r="AA1103" s="35"/>
      <c r="AB1103" s="35"/>
    </row>
    <row r="1104" spans="1:28" x14ac:dyDescent="0.25">
      <c r="A1104" s="68" t="str">
        <f t="shared" si="51"/>
        <v>551887</v>
      </c>
      <c r="B1104" s="10">
        <f t="shared" si="52"/>
        <v>418.06612000000001</v>
      </c>
      <c r="C1104" s="77" t="s">
        <v>5667</v>
      </c>
      <c r="D1104" s="191" t="str">
        <f t="shared" si="53"/>
        <v>V-StrongLumio napájecí zdroj plochý pro LED 24V - 30W (544907)</v>
      </c>
      <c r="E1104" s="77" t="s">
        <v>4281</v>
      </c>
      <c r="F1104" s="77" t="s">
        <v>4282</v>
      </c>
      <c r="G1104" s="77" t="s">
        <v>4284</v>
      </c>
      <c r="H1104" s="77" t="s">
        <v>4283</v>
      </c>
      <c r="I1104" s="77" t="s">
        <v>795</v>
      </c>
      <c r="J1104" s="90">
        <v>1</v>
      </c>
      <c r="K1104" s="91">
        <v>1</v>
      </c>
      <c r="L1104" s="77" t="s">
        <v>6566</v>
      </c>
      <c r="M1104" s="78">
        <v>418.06612000000001</v>
      </c>
      <c r="N1104" s="79">
        <v>17.551030000000001</v>
      </c>
      <c r="O1104" s="79">
        <v>0</v>
      </c>
      <c r="P1104" s="79">
        <v>4419</v>
      </c>
      <c r="Q1104" s="77"/>
      <c r="R1104" s="77"/>
      <c r="S1104" s="77"/>
      <c r="T1104" s="77"/>
      <c r="U1104" s="77"/>
      <c r="V1104" s="87"/>
      <c r="W1104" s="87"/>
      <c r="X1104" s="87"/>
      <c r="Y1104" s="77"/>
      <c r="Z1104" s="88"/>
      <c r="AA1104" s="35"/>
      <c r="AB1104" s="35"/>
    </row>
    <row r="1105" spans="1:28" x14ac:dyDescent="0.25">
      <c r="A1105" s="68" t="str">
        <f t="shared" si="51"/>
        <v>552068</v>
      </c>
      <c r="B1105" s="10">
        <f t="shared" si="52"/>
        <v>534.43503999999996</v>
      </c>
      <c r="C1105" s="77" t="s">
        <v>5668</v>
      </c>
      <c r="D1105" s="191" t="str">
        <f t="shared" si="53"/>
        <v>V-StrongLumio napájecí zdroj plochý pro LED 24V - 50W (544902)</v>
      </c>
      <c r="E1105" s="77" t="s">
        <v>4285</v>
      </c>
      <c r="F1105" s="77" t="s">
        <v>4286</v>
      </c>
      <c r="G1105" s="77" t="s">
        <v>4288</v>
      </c>
      <c r="H1105" s="77" t="s">
        <v>4287</v>
      </c>
      <c r="I1105" s="77" t="s">
        <v>795</v>
      </c>
      <c r="J1105" s="90">
        <v>1</v>
      </c>
      <c r="K1105" s="91">
        <v>1</v>
      </c>
      <c r="L1105" s="77" t="s">
        <v>6566</v>
      </c>
      <c r="M1105" s="78">
        <v>534.43503999999996</v>
      </c>
      <c r="N1105" s="79">
        <v>22.436399999999999</v>
      </c>
      <c r="O1105" s="79">
        <v>0</v>
      </c>
      <c r="P1105" s="79">
        <v>6068.33122</v>
      </c>
      <c r="Q1105" s="77"/>
      <c r="R1105" s="77"/>
      <c r="S1105" s="77"/>
      <c r="T1105" s="77"/>
      <c r="U1105" s="77"/>
      <c r="V1105" s="87"/>
      <c r="W1105" s="87"/>
      <c r="X1105" s="87"/>
      <c r="Y1105" s="77"/>
      <c r="Z1105" s="88"/>
      <c r="AA1105" s="35"/>
      <c r="AB1105" s="35"/>
    </row>
    <row r="1106" spans="1:28" x14ac:dyDescent="0.25">
      <c r="A1106" s="68" t="str">
        <f t="shared" si="51"/>
        <v>305395</v>
      </c>
      <c r="B1106" s="10">
        <f t="shared" si="52"/>
        <v>563.54759999999999</v>
      </c>
      <c r="C1106" s="77" t="s">
        <v>5669</v>
      </c>
      <c r="D1106" s="191" t="str">
        <f t="shared" si="53"/>
        <v>V-StrongLumio napájecí zdroj plochý pro LED 24V 60W (284623)</v>
      </c>
      <c r="E1106" s="77" t="s">
        <v>4289</v>
      </c>
      <c r="F1106" s="77" t="s">
        <v>4290</v>
      </c>
      <c r="G1106" s="77" t="s">
        <v>4292</v>
      </c>
      <c r="H1106" s="77" t="s">
        <v>4291</v>
      </c>
      <c r="I1106" s="77" t="s">
        <v>795</v>
      </c>
      <c r="J1106" s="90">
        <v>20</v>
      </c>
      <c r="K1106" s="91">
        <v>1</v>
      </c>
      <c r="L1106" s="77" t="s">
        <v>160</v>
      </c>
      <c r="M1106" s="78">
        <v>563.54759999999999</v>
      </c>
      <c r="N1106" s="79">
        <v>23.562000000000001</v>
      </c>
      <c r="O1106" s="79">
        <v>73.645449999999997</v>
      </c>
      <c r="P1106" s="79">
        <v>7169.9727400000002</v>
      </c>
      <c r="Q1106" s="77"/>
      <c r="R1106" s="77"/>
      <c r="S1106" s="77"/>
      <c r="T1106" s="77"/>
      <c r="U1106" s="77"/>
      <c r="V1106" s="87"/>
      <c r="W1106" s="87"/>
      <c r="X1106" s="87"/>
      <c r="Y1106" s="77"/>
      <c r="Z1106" s="88"/>
      <c r="AA1106" s="35"/>
      <c r="AB1106" s="35"/>
    </row>
    <row r="1107" spans="1:28" x14ac:dyDescent="0.25">
      <c r="A1107" s="68" t="str">
        <f t="shared" si="51"/>
        <v>416643</v>
      </c>
      <c r="B1107" s="10">
        <f t="shared" si="52"/>
        <v>769.28719999999998</v>
      </c>
      <c r="C1107" s="77" t="s">
        <v>5670</v>
      </c>
      <c r="D1107" s="191" t="str">
        <f t="shared" si="53"/>
        <v>V-StrongLumio napájecí zdroj plochý pro LED 24V 75W (405188)</v>
      </c>
      <c r="E1107" s="77" t="s">
        <v>4293</v>
      </c>
      <c r="F1107" s="77" t="s">
        <v>4290</v>
      </c>
      <c r="G1107" s="77" t="s">
        <v>4292</v>
      </c>
      <c r="H1107" s="77" t="s">
        <v>4291</v>
      </c>
      <c r="I1107" s="77" t="s">
        <v>795</v>
      </c>
      <c r="J1107" s="90">
        <v>20</v>
      </c>
      <c r="K1107" s="91">
        <v>1</v>
      </c>
      <c r="L1107" s="77" t="s">
        <v>6566</v>
      </c>
      <c r="M1107" s="78">
        <v>769.28719999999998</v>
      </c>
      <c r="N1107" s="79">
        <v>32.164020000000001</v>
      </c>
      <c r="O1107" s="79">
        <v>105.11938000000001</v>
      </c>
      <c r="P1107" s="79">
        <v>7460</v>
      </c>
      <c r="Q1107" s="77"/>
      <c r="R1107" s="77"/>
      <c r="S1107" s="77"/>
      <c r="T1107" s="77"/>
      <c r="U1107" s="77"/>
      <c r="V1107" s="87"/>
      <c r="W1107" s="87"/>
      <c r="X1107" s="87"/>
      <c r="Y1107" s="77"/>
      <c r="Z1107" s="88"/>
      <c r="AA1107" s="35"/>
      <c r="AB1107" s="35"/>
    </row>
    <row r="1108" spans="1:28" x14ac:dyDescent="0.25">
      <c r="A1108" s="68" t="str">
        <f t="shared" si="51"/>
        <v>557756</v>
      </c>
      <c r="B1108" s="10">
        <f t="shared" si="52"/>
        <v>241.36199999999999</v>
      </c>
      <c r="C1108" s="77" t="s">
        <v>6243</v>
      </c>
      <c r="D1108" s="191" t="str">
        <f t="shared" si="53"/>
        <v>V-StrongLumio napájecí zdroj pro LED 12V - 24W do zásuvky (544898)</v>
      </c>
      <c r="E1108" s="77" t="s">
        <v>6244</v>
      </c>
      <c r="F1108" s="77" t="s">
        <v>2280</v>
      </c>
      <c r="G1108" s="77" t="s">
        <v>2282</v>
      </c>
      <c r="H1108" s="77" t="s">
        <v>2281</v>
      </c>
      <c r="I1108" s="77" t="s">
        <v>795</v>
      </c>
      <c r="J1108" s="90">
        <v>100</v>
      </c>
      <c r="K1108" s="91">
        <v>1</v>
      </c>
      <c r="L1108" s="77" t="s">
        <v>6566</v>
      </c>
      <c r="M1108" s="78">
        <v>241.36199999999999</v>
      </c>
      <c r="N1108" s="79">
        <v>8.5329999999999995</v>
      </c>
      <c r="O1108" s="79">
        <v>0</v>
      </c>
      <c r="P1108" s="79">
        <v>0</v>
      </c>
      <c r="Q1108" s="77"/>
      <c r="R1108" s="77"/>
      <c r="S1108" s="77"/>
      <c r="T1108" s="77"/>
      <c r="U1108" s="77"/>
      <c r="V1108" s="87"/>
      <c r="W1108" s="87"/>
      <c r="X1108" s="87"/>
      <c r="Y1108" s="77"/>
      <c r="Z1108" s="88"/>
      <c r="AA1108" s="35"/>
      <c r="AB1108" s="35"/>
    </row>
    <row r="1109" spans="1:28" x14ac:dyDescent="0.25">
      <c r="A1109" s="68" t="str">
        <f t="shared" si="51"/>
        <v>557758</v>
      </c>
      <c r="B1109" s="10">
        <f t="shared" si="52"/>
        <v>362.04300000000001</v>
      </c>
      <c r="C1109" s="77" t="s">
        <v>6247</v>
      </c>
      <c r="D1109" s="191" t="str">
        <f t="shared" si="53"/>
        <v>V-StrongLumio napájecí zdroj pro LED 12V - 36W do zásuvky (544900)</v>
      </c>
      <c r="E1109" s="77" t="s">
        <v>6248</v>
      </c>
      <c r="F1109" s="77" t="s">
        <v>2284</v>
      </c>
      <c r="G1109" s="77" t="s">
        <v>2286</v>
      </c>
      <c r="H1109" s="77" t="s">
        <v>2285</v>
      </c>
      <c r="I1109" s="77" t="s">
        <v>795</v>
      </c>
      <c r="J1109" s="90">
        <v>50</v>
      </c>
      <c r="K1109" s="91">
        <v>1</v>
      </c>
      <c r="L1109" s="77" t="s">
        <v>6566</v>
      </c>
      <c r="M1109" s="78">
        <v>362.04300000000001</v>
      </c>
      <c r="N1109" s="79">
        <v>12.7995</v>
      </c>
      <c r="O1109" s="79">
        <v>0</v>
      </c>
      <c r="P1109" s="79">
        <v>0</v>
      </c>
      <c r="Q1109" s="77"/>
      <c r="R1109" s="77"/>
      <c r="S1109" s="77"/>
      <c r="T1109" s="77"/>
      <c r="U1109" s="77"/>
      <c r="V1109" s="87"/>
      <c r="W1109" s="87"/>
      <c r="X1109" s="87"/>
      <c r="Y1109" s="77"/>
      <c r="Z1109" s="88"/>
      <c r="AA1109" s="35"/>
      <c r="AB1109" s="35"/>
    </row>
    <row r="1110" spans="1:28" x14ac:dyDescent="0.25">
      <c r="A1110" s="68" t="str">
        <f t="shared" si="51"/>
        <v>376307</v>
      </c>
      <c r="B1110" s="10">
        <f t="shared" si="52"/>
        <v>699</v>
      </c>
      <c r="C1110" s="77" t="s">
        <v>5671</v>
      </c>
      <c r="D1110" s="191" t="str">
        <f t="shared" si="53"/>
        <v>V-StrongLumio napájecí zdroj pro LED 12V 120W (353250)</v>
      </c>
      <c r="E1110" s="77" t="s">
        <v>4294</v>
      </c>
      <c r="F1110" s="77" t="s">
        <v>4295</v>
      </c>
      <c r="G1110" s="77" t="s">
        <v>4297</v>
      </c>
      <c r="H1110" s="77" t="s">
        <v>4296</v>
      </c>
      <c r="I1110" s="77" t="s">
        <v>795</v>
      </c>
      <c r="J1110" s="90">
        <v>20</v>
      </c>
      <c r="K1110" s="91">
        <v>1</v>
      </c>
      <c r="L1110" s="77" t="s">
        <v>160</v>
      </c>
      <c r="M1110" s="78">
        <v>699</v>
      </c>
      <c r="N1110" s="79">
        <v>24.841139999999999</v>
      </c>
      <c r="O1110" s="79">
        <v>129.00416000000001</v>
      </c>
      <c r="P1110" s="79">
        <v>25008.74999</v>
      </c>
      <c r="Q1110" s="77"/>
      <c r="R1110" s="77"/>
      <c r="S1110" s="77"/>
      <c r="T1110" s="77"/>
      <c r="U1110" s="77"/>
      <c r="V1110" s="87"/>
      <c r="W1110" s="87"/>
      <c r="X1110" s="87"/>
      <c r="Y1110" s="77"/>
      <c r="Z1110" s="88"/>
      <c r="AA1110" s="35"/>
      <c r="AB1110" s="35"/>
    </row>
    <row r="1111" spans="1:28" x14ac:dyDescent="0.25">
      <c r="A1111" s="68" t="str">
        <f t="shared" si="51"/>
        <v>208192</v>
      </c>
      <c r="B1111" s="10">
        <f t="shared" si="52"/>
        <v>370.26</v>
      </c>
      <c r="C1111" s="77" t="s">
        <v>5672</v>
      </c>
      <c r="D1111" s="191" t="str">
        <f t="shared" si="53"/>
        <v>V-StrongLumio napájecí zdroj pro LED 12V 18W (405179)</v>
      </c>
      <c r="E1111" s="77" t="s">
        <v>4298</v>
      </c>
      <c r="F1111" s="77" t="s">
        <v>4299</v>
      </c>
      <c r="G1111" s="77" t="s">
        <v>4301</v>
      </c>
      <c r="H1111" s="77" t="s">
        <v>4300</v>
      </c>
      <c r="I1111" s="77" t="s">
        <v>795</v>
      </c>
      <c r="J1111" s="90">
        <v>50</v>
      </c>
      <c r="K1111" s="91">
        <v>1</v>
      </c>
      <c r="L1111" s="77" t="s">
        <v>160</v>
      </c>
      <c r="M1111" s="78">
        <v>370.26</v>
      </c>
      <c r="N1111" s="79">
        <v>13.03656</v>
      </c>
      <c r="O1111" s="79">
        <v>37.579149999999998</v>
      </c>
      <c r="P1111" s="79">
        <v>4475.2500099999997</v>
      </c>
      <c r="Q1111" s="77"/>
      <c r="R1111" s="77"/>
      <c r="S1111" s="77"/>
      <c r="T1111" s="77"/>
      <c r="U1111" s="77"/>
      <c r="V1111" s="87"/>
      <c r="W1111" s="87"/>
      <c r="X1111" s="87"/>
      <c r="Y1111" s="77"/>
      <c r="Z1111" s="88"/>
      <c r="AA1111" s="35"/>
      <c r="AB1111" s="35"/>
    </row>
    <row r="1112" spans="1:28" x14ac:dyDescent="0.25">
      <c r="A1112" s="68" t="str">
        <f t="shared" si="51"/>
        <v>208193</v>
      </c>
      <c r="B1112" s="10">
        <f t="shared" si="52"/>
        <v>413.82</v>
      </c>
      <c r="C1112" s="77" t="s">
        <v>5673</v>
      </c>
      <c r="D1112" s="191" t="str">
        <f t="shared" si="53"/>
        <v>V-StrongLumio napájecí zdroj pro LED 12V 30W (405180)</v>
      </c>
      <c r="E1112" s="77" t="s">
        <v>4302</v>
      </c>
      <c r="F1112" s="77" t="s">
        <v>4303</v>
      </c>
      <c r="G1112" s="77" t="s">
        <v>4305</v>
      </c>
      <c r="H1112" s="77" t="s">
        <v>4304</v>
      </c>
      <c r="I1112" s="77" t="s">
        <v>795</v>
      </c>
      <c r="J1112" s="90">
        <v>1</v>
      </c>
      <c r="K1112" s="91">
        <v>1</v>
      </c>
      <c r="L1112" s="77" t="s">
        <v>160</v>
      </c>
      <c r="M1112" s="78">
        <v>413.82</v>
      </c>
      <c r="N1112" s="79">
        <v>14.57033</v>
      </c>
      <c r="O1112" s="79">
        <v>43.921590000000002</v>
      </c>
      <c r="P1112" s="79">
        <v>5001.7499900000003</v>
      </c>
      <c r="Q1112" s="77"/>
      <c r="R1112" s="77"/>
      <c r="S1112" s="77"/>
      <c r="T1112" s="77"/>
      <c r="U1112" s="77"/>
      <c r="V1112" s="87"/>
      <c r="W1112" s="87"/>
      <c r="X1112" s="87"/>
      <c r="Y1112" s="77"/>
      <c r="Z1112" s="88"/>
      <c r="AA1112" s="35"/>
      <c r="AB1112" s="35"/>
    </row>
    <row r="1113" spans="1:28" x14ac:dyDescent="0.25">
      <c r="A1113" s="68" t="str">
        <f t="shared" si="51"/>
        <v>208194</v>
      </c>
      <c r="B1113" s="10">
        <f t="shared" si="52"/>
        <v>642.51</v>
      </c>
      <c r="C1113" s="77" t="s">
        <v>5674</v>
      </c>
      <c r="D1113" s="191" t="str">
        <f t="shared" si="53"/>
        <v>V-StrongLumio napájecí zdroj pro LED 12V 48W (405181)</v>
      </c>
      <c r="E1113" s="77" t="s">
        <v>4306</v>
      </c>
      <c r="F1113" s="77" t="s">
        <v>4307</v>
      </c>
      <c r="G1113" s="77" t="s">
        <v>4309</v>
      </c>
      <c r="H1113" s="77" t="s">
        <v>4308</v>
      </c>
      <c r="I1113" s="77" t="s">
        <v>795</v>
      </c>
      <c r="J1113" s="90">
        <v>1</v>
      </c>
      <c r="K1113" s="91">
        <v>1</v>
      </c>
      <c r="L1113" s="77" t="s">
        <v>160</v>
      </c>
      <c r="M1113" s="78">
        <v>642.51</v>
      </c>
      <c r="N1113" s="79">
        <v>22.62229</v>
      </c>
      <c r="O1113" s="79">
        <v>69.758610000000004</v>
      </c>
      <c r="P1113" s="79">
        <v>7765.8749900000003</v>
      </c>
      <c r="Q1113" s="77"/>
      <c r="R1113" s="77"/>
      <c r="S1113" s="77"/>
      <c r="T1113" s="77"/>
      <c r="U1113" s="77"/>
      <c r="V1113" s="87"/>
      <c r="W1113" s="87"/>
      <c r="X1113" s="87"/>
      <c r="Y1113" s="77"/>
      <c r="Z1113" s="88"/>
      <c r="AA1113" s="35"/>
      <c r="AB1113" s="35"/>
    </row>
    <row r="1114" spans="1:28" x14ac:dyDescent="0.25">
      <c r="A1114" s="68" t="str">
        <f t="shared" si="51"/>
        <v>557757</v>
      </c>
      <c r="B1114" s="10">
        <f t="shared" si="52"/>
        <v>241.36199999999999</v>
      </c>
      <c r="C1114" s="77" t="s">
        <v>6245</v>
      </c>
      <c r="D1114" s="191" t="str">
        <f t="shared" si="53"/>
        <v>V-StrongLumio napájecí zdroj pro LED 24V - 24W do zásuvky (544899)</v>
      </c>
      <c r="E1114" s="77" t="s">
        <v>6246</v>
      </c>
      <c r="F1114" s="77" t="s">
        <v>2312</v>
      </c>
      <c r="G1114" s="77" t="s">
        <v>2314</v>
      </c>
      <c r="H1114" s="77" t="s">
        <v>2313</v>
      </c>
      <c r="I1114" s="77" t="s">
        <v>795</v>
      </c>
      <c r="J1114" s="90">
        <v>100</v>
      </c>
      <c r="K1114" s="91">
        <v>1</v>
      </c>
      <c r="L1114" s="77" t="s">
        <v>6566</v>
      </c>
      <c r="M1114" s="78">
        <v>241.36199999999999</v>
      </c>
      <c r="N1114" s="79">
        <v>8.5329999999999995</v>
      </c>
      <c r="O1114" s="79">
        <v>0</v>
      </c>
      <c r="P1114" s="79">
        <v>0</v>
      </c>
      <c r="Q1114" s="77"/>
      <c r="R1114" s="77"/>
      <c r="S1114" s="77"/>
      <c r="T1114" s="77"/>
      <c r="U1114" s="77"/>
      <c r="V1114" s="87"/>
      <c r="W1114" s="87"/>
      <c r="X1114" s="87"/>
      <c r="Y1114" s="77"/>
      <c r="Z1114" s="88"/>
      <c r="AA1114" s="35"/>
      <c r="AB1114" s="35"/>
    </row>
    <row r="1115" spans="1:28" x14ac:dyDescent="0.25">
      <c r="A1115" s="68" t="str">
        <f t="shared" si="51"/>
        <v>557759</v>
      </c>
      <c r="B1115" s="10">
        <f t="shared" si="52"/>
        <v>346.30200000000002</v>
      </c>
      <c r="C1115" s="77" t="s">
        <v>6249</v>
      </c>
      <c r="D1115" s="191" t="str">
        <f t="shared" si="53"/>
        <v>V-StrongLumio napájecí zdroj pro LED 24V - 36W do zásuvky (544901)</v>
      </c>
      <c r="E1115" s="77" t="s">
        <v>6250</v>
      </c>
      <c r="F1115" s="77" t="s">
        <v>2316</v>
      </c>
      <c r="G1115" s="77" t="s">
        <v>2318</v>
      </c>
      <c r="H1115" s="77" t="s">
        <v>2317</v>
      </c>
      <c r="I1115" s="77" t="s">
        <v>795</v>
      </c>
      <c r="J1115" s="90">
        <v>50</v>
      </c>
      <c r="K1115" s="91">
        <v>1</v>
      </c>
      <c r="L1115" s="77" t="s">
        <v>6566</v>
      </c>
      <c r="M1115" s="78">
        <v>346.30200000000002</v>
      </c>
      <c r="N1115" s="79">
        <v>12.243</v>
      </c>
      <c r="O1115" s="79">
        <v>0</v>
      </c>
      <c r="P1115" s="79">
        <v>0</v>
      </c>
      <c r="Q1115" s="77"/>
      <c r="R1115" s="77"/>
      <c r="S1115" s="77"/>
      <c r="T1115" s="77"/>
      <c r="U1115" s="77"/>
      <c r="V1115" s="87"/>
      <c r="W1115" s="87"/>
      <c r="X1115" s="87"/>
      <c r="Y1115" s="77"/>
      <c r="Z1115" s="88"/>
      <c r="AA1115" s="35"/>
      <c r="AB1115" s="35"/>
    </row>
    <row r="1116" spans="1:28" x14ac:dyDescent="0.25">
      <c r="A1116" s="68" t="str">
        <f t="shared" ref="A1116:A1161" si="54">C1116</f>
        <v>308949</v>
      </c>
      <c r="B1116" s="10">
        <f t="shared" si="52"/>
        <v>816.75</v>
      </c>
      <c r="C1116" s="77" t="s">
        <v>5676</v>
      </c>
      <c r="D1116" s="191" t="str">
        <f t="shared" si="53"/>
        <v>V-StrongLumio napájecí zdroj pro LED 24V 80W (284619)</v>
      </c>
      <c r="E1116" s="77" t="s">
        <v>4310</v>
      </c>
      <c r="F1116" s="77" t="s">
        <v>4311</v>
      </c>
      <c r="G1116" s="77" t="s">
        <v>4313</v>
      </c>
      <c r="H1116" s="77" t="s">
        <v>4312</v>
      </c>
      <c r="I1116" s="77" t="s">
        <v>795</v>
      </c>
      <c r="J1116" s="90">
        <v>50</v>
      </c>
      <c r="K1116" s="91">
        <v>1</v>
      </c>
      <c r="L1116" s="77" t="s">
        <v>160</v>
      </c>
      <c r="M1116" s="78">
        <v>816.75</v>
      </c>
      <c r="N1116" s="79">
        <v>28.75712</v>
      </c>
      <c r="O1116" s="79">
        <v>79.579700000000003</v>
      </c>
      <c r="P1116" s="79">
        <v>9871.875</v>
      </c>
      <c r="Q1116" s="77"/>
      <c r="R1116" s="77"/>
      <c r="S1116" s="77"/>
      <c r="T1116" s="77"/>
      <c r="U1116" s="77"/>
      <c r="V1116" s="87"/>
      <c r="W1116" s="87"/>
      <c r="X1116" s="87"/>
      <c r="Y1116" s="77"/>
      <c r="Z1116" s="88"/>
      <c r="AA1116" s="35"/>
      <c r="AB1116" s="35"/>
    </row>
    <row r="1117" spans="1:28" x14ac:dyDescent="0.25">
      <c r="A1117" s="68" t="str">
        <f t="shared" si="54"/>
        <v>313711</v>
      </c>
      <c r="B1117" s="10">
        <f t="shared" si="52"/>
        <v>32.489179999999998</v>
      </c>
      <c r="C1117" s="77" t="s">
        <v>5677</v>
      </c>
      <c r="D1117" s="191" t="str">
        <f t="shared" si="53"/>
        <v>V-StrongLumio plochý RGB kabel (čtyřlinka) (276497)</v>
      </c>
      <c r="E1117" s="77" t="s">
        <v>4314</v>
      </c>
      <c r="F1117" s="77" t="s">
        <v>4315</v>
      </c>
      <c r="G1117" s="77" t="s">
        <v>4317</v>
      </c>
      <c r="H1117" s="77" t="s">
        <v>4316</v>
      </c>
      <c r="I1117" s="77" t="s">
        <v>992</v>
      </c>
      <c r="J1117" s="90">
        <v>100</v>
      </c>
      <c r="K1117" s="91">
        <v>0.1</v>
      </c>
      <c r="L1117" s="77" t="s">
        <v>6566</v>
      </c>
      <c r="M1117" s="78">
        <v>32.489179999999998</v>
      </c>
      <c r="N1117" s="79">
        <v>1.3909800000000001</v>
      </c>
      <c r="O1117" s="79">
        <v>4.2620199999999997</v>
      </c>
      <c r="P1117" s="79">
        <v>479.62421999999998</v>
      </c>
      <c r="Q1117" s="77"/>
      <c r="R1117" s="77"/>
      <c r="S1117" s="77"/>
      <c r="T1117" s="77"/>
      <c r="U1117" s="77"/>
      <c r="V1117" s="87"/>
      <c r="W1117" s="87"/>
      <c r="X1117" s="87"/>
      <c r="Y1117" s="77"/>
      <c r="Z1117" s="88"/>
      <c r="AA1117" s="35"/>
      <c r="AB1117" s="35"/>
    </row>
    <row r="1118" spans="1:28" x14ac:dyDescent="0.25">
      <c r="A1118" s="68" t="str">
        <f t="shared" si="54"/>
        <v>492672</v>
      </c>
      <c r="B1118" s="10">
        <f t="shared" ref="B1118:B1181" si="55">IF($B$1=1,M1118,IF($B$1=2,N1118,IF($B$1=3,O1118,IF($B$1=4,P1118))))</f>
        <v>43.319139999999997</v>
      </c>
      <c r="C1118" s="77" t="s">
        <v>5678</v>
      </c>
      <c r="D1118" s="191" t="str">
        <f t="shared" si="53"/>
        <v>V-StrongLumio plochý RGBCCT kabel (šestilinka) (489472)</v>
      </c>
      <c r="E1118" s="77" t="s">
        <v>4318</v>
      </c>
      <c r="F1118" s="77" t="s">
        <v>4319</v>
      </c>
      <c r="G1118" s="77" t="s">
        <v>4320</v>
      </c>
      <c r="H1118" s="77" t="s">
        <v>794</v>
      </c>
      <c r="I1118" s="77" t="s">
        <v>992</v>
      </c>
      <c r="J1118" s="90">
        <v>100</v>
      </c>
      <c r="K1118" s="91">
        <v>0.5</v>
      </c>
      <c r="L1118" s="77" t="s">
        <v>6566</v>
      </c>
      <c r="M1118" s="78">
        <v>43.319139999999997</v>
      </c>
      <c r="N1118" s="79">
        <v>1.85466</v>
      </c>
      <c r="O1118" s="79">
        <v>6.1174299999999997</v>
      </c>
      <c r="P1118" s="79">
        <v>639.50226999999995</v>
      </c>
      <c r="Q1118" s="77"/>
      <c r="R1118" s="77"/>
      <c r="S1118" s="77"/>
      <c r="T1118" s="77"/>
      <c r="U1118" s="77"/>
      <c r="V1118" s="87"/>
      <c r="W1118" s="87"/>
      <c r="X1118" s="87"/>
      <c r="Y1118" s="77"/>
      <c r="Z1118" s="88"/>
      <c r="AA1118" s="35"/>
      <c r="AB1118" s="35"/>
    </row>
    <row r="1119" spans="1:28" x14ac:dyDescent="0.25">
      <c r="A1119" s="68" t="str">
        <f t="shared" si="54"/>
        <v>399080</v>
      </c>
      <c r="B1119" s="10">
        <f t="shared" si="55"/>
        <v>38.875869999999999</v>
      </c>
      <c r="C1119" s="77" t="s">
        <v>5679</v>
      </c>
      <c r="D1119" s="191" t="str">
        <f t="shared" si="53"/>
        <v>V-StrongLumio plochý RGBW kabel (pětilinka) (399079)</v>
      </c>
      <c r="E1119" s="77" t="s">
        <v>4321</v>
      </c>
      <c r="F1119" s="77" t="s">
        <v>794</v>
      </c>
      <c r="G1119" s="77" t="s">
        <v>794</v>
      </c>
      <c r="H1119" s="77" t="s">
        <v>794</v>
      </c>
      <c r="I1119" s="77" t="s">
        <v>992</v>
      </c>
      <c r="J1119" s="90">
        <v>100</v>
      </c>
      <c r="K1119" s="91">
        <v>1</v>
      </c>
      <c r="L1119" s="77" t="s">
        <v>6566</v>
      </c>
      <c r="M1119" s="78">
        <v>38.875869999999999</v>
      </c>
      <c r="N1119" s="79">
        <v>1.6644000000000001</v>
      </c>
      <c r="O1119" s="79">
        <v>5.4896900000000004</v>
      </c>
      <c r="P1119" s="79">
        <v>573.90822000000003</v>
      </c>
      <c r="Q1119" s="77"/>
      <c r="R1119" s="77"/>
      <c r="S1119" s="77"/>
      <c r="T1119" s="77"/>
      <c r="U1119" s="77"/>
      <c r="V1119" s="87"/>
      <c r="W1119" s="87"/>
      <c r="X1119" s="87"/>
      <c r="Y1119" s="77"/>
      <c r="Z1119" s="88"/>
      <c r="AA1119" s="35"/>
      <c r="AB1119" s="35"/>
    </row>
    <row r="1120" spans="1:28" x14ac:dyDescent="0.25">
      <c r="A1120" s="68" t="str">
        <f t="shared" si="54"/>
        <v>461431</v>
      </c>
      <c r="B1120" s="10">
        <f t="shared" si="55"/>
        <v>371.79450000000003</v>
      </c>
      <c r="C1120" s="77" t="s">
        <v>5680</v>
      </c>
      <c r="D1120" s="191" t="str">
        <f t="shared" si="53"/>
        <v>V-StrongLumio podpovrchový vypínač/stmívač 12-24V bílý konektory Mini (405198)</v>
      </c>
      <c r="E1120" s="77" t="s">
        <v>4322</v>
      </c>
      <c r="F1120" s="77" t="s">
        <v>4323</v>
      </c>
      <c r="G1120" s="77" t="s">
        <v>4325</v>
      </c>
      <c r="H1120" s="77" t="s">
        <v>4324</v>
      </c>
      <c r="I1120" s="77" t="s">
        <v>795</v>
      </c>
      <c r="J1120" s="90">
        <v>1</v>
      </c>
      <c r="K1120" s="91">
        <v>1</v>
      </c>
      <c r="L1120" s="77" t="s">
        <v>6566</v>
      </c>
      <c r="M1120" s="78">
        <v>371.79450000000003</v>
      </c>
      <c r="N1120" s="79">
        <v>16.909590000000001</v>
      </c>
      <c r="O1120" s="79">
        <v>57.516759999999998</v>
      </c>
      <c r="P1120" s="79">
        <v>6124.7505700000002</v>
      </c>
      <c r="Q1120" s="77"/>
      <c r="R1120" s="77"/>
      <c r="S1120" s="77"/>
      <c r="T1120" s="77"/>
      <c r="U1120" s="77"/>
      <c r="V1120" s="87"/>
      <c r="W1120" s="87"/>
      <c r="X1120" s="87"/>
      <c r="Y1120" s="77"/>
      <c r="Z1120" s="88"/>
      <c r="AA1120" s="35"/>
      <c r="AB1120" s="35"/>
    </row>
    <row r="1121" spans="1:28" x14ac:dyDescent="0.25">
      <c r="A1121" s="68" t="str">
        <f t="shared" si="54"/>
        <v>478174</v>
      </c>
      <c r="B1121" s="10">
        <f t="shared" si="55"/>
        <v>325.64069999999998</v>
      </c>
      <c r="C1121" s="77" t="s">
        <v>5681</v>
      </c>
      <c r="D1121" s="191" t="str">
        <f t="shared" si="53"/>
        <v>V-StrongLumio pohybový senzor do profilu 12-24V, 8A (405196)</v>
      </c>
      <c r="E1121" s="77" t="s">
        <v>4326</v>
      </c>
      <c r="F1121" s="77" t="s">
        <v>4327</v>
      </c>
      <c r="G1121" s="77" t="s">
        <v>4329</v>
      </c>
      <c r="H1121" s="77" t="s">
        <v>4328</v>
      </c>
      <c r="I1121" s="77" t="s">
        <v>795</v>
      </c>
      <c r="J1121" s="90">
        <v>1</v>
      </c>
      <c r="K1121" s="91">
        <v>1</v>
      </c>
      <c r="L1121" s="77" t="s">
        <v>6566</v>
      </c>
      <c r="M1121" s="78">
        <v>325.64069999999998</v>
      </c>
      <c r="N1121" s="79">
        <v>14.81047</v>
      </c>
      <c r="O1121" s="79">
        <v>47.669730000000001</v>
      </c>
      <c r="P1121" s="79">
        <v>5364.4367199999997</v>
      </c>
      <c r="Q1121" s="77"/>
      <c r="R1121" s="77"/>
      <c r="S1121" s="77"/>
      <c r="T1121" s="77"/>
      <c r="U1121" s="77"/>
      <c r="V1121" s="87"/>
      <c r="W1121" s="87"/>
      <c r="X1121" s="87"/>
      <c r="Y1121" s="77"/>
      <c r="Z1121" s="88"/>
      <c r="AA1121" s="35"/>
      <c r="AB1121" s="35"/>
    </row>
    <row r="1122" spans="1:28" x14ac:dyDescent="0.25">
      <c r="A1122" s="68" t="str">
        <f t="shared" si="54"/>
        <v>368122</v>
      </c>
      <c r="B1122" s="10">
        <f t="shared" si="55"/>
        <v>320.51249999999999</v>
      </c>
      <c r="C1122" s="77" t="s">
        <v>5682</v>
      </c>
      <c r="D1122" s="191" t="str">
        <f t="shared" si="53"/>
        <v>V-StrongLumio pohybový vypínač PIR 12-24V 4A MINI (343040)</v>
      </c>
      <c r="E1122" s="77" t="s">
        <v>4330</v>
      </c>
      <c r="F1122" s="77" t="s">
        <v>4331</v>
      </c>
      <c r="G1122" s="77" t="s">
        <v>4333</v>
      </c>
      <c r="H1122" s="77" t="s">
        <v>4332</v>
      </c>
      <c r="I1122" s="77" t="s">
        <v>795</v>
      </c>
      <c r="J1122" s="90">
        <v>10</v>
      </c>
      <c r="K1122" s="91">
        <v>1</v>
      </c>
      <c r="L1122" s="77" t="s">
        <v>6566</v>
      </c>
      <c r="M1122" s="78">
        <v>320.51249999999999</v>
      </c>
      <c r="N1122" s="79">
        <v>14.577260000000001</v>
      </c>
      <c r="O1122" s="79">
        <v>49.999789999999997</v>
      </c>
      <c r="P1122" s="79">
        <v>5279.9574000000002</v>
      </c>
      <c r="Q1122" s="77"/>
      <c r="R1122" s="77"/>
      <c r="S1122" s="77"/>
      <c r="T1122" s="77"/>
      <c r="U1122" s="77"/>
      <c r="V1122" s="87"/>
      <c r="W1122" s="87"/>
      <c r="X1122" s="87"/>
      <c r="Y1122" s="77"/>
      <c r="Z1122" s="88"/>
      <c r="AA1122" s="35"/>
      <c r="AB1122" s="35"/>
    </row>
    <row r="1123" spans="1:28" x14ac:dyDescent="0.25">
      <c r="A1123" s="68" t="str">
        <f t="shared" si="54"/>
        <v>469002</v>
      </c>
      <c r="B1123" s="10">
        <f t="shared" si="55"/>
        <v>406.8372</v>
      </c>
      <c r="C1123" s="77" t="s">
        <v>5683</v>
      </c>
      <c r="D1123" s="191" t="str">
        <f t="shared" si="53"/>
        <v>V-StrongLumio pohybový vypínač PIR k zafrézování 12-24V 4A Mini (405209)</v>
      </c>
      <c r="E1123" s="77" t="s">
        <v>4334</v>
      </c>
      <c r="F1123" s="77" t="s">
        <v>4335</v>
      </c>
      <c r="G1123" s="77" t="s">
        <v>4333</v>
      </c>
      <c r="H1123" s="77" t="s">
        <v>4332</v>
      </c>
      <c r="I1123" s="77" t="s">
        <v>795</v>
      </c>
      <c r="J1123" s="90">
        <v>10</v>
      </c>
      <c r="K1123" s="91">
        <v>1</v>
      </c>
      <c r="L1123" s="77" t="s">
        <v>6566</v>
      </c>
      <c r="M1123" s="78">
        <v>406.8372</v>
      </c>
      <c r="N1123" s="79">
        <v>18.503399999999999</v>
      </c>
      <c r="O1123" s="79">
        <v>56.95017</v>
      </c>
      <c r="P1123" s="79">
        <v>6124.7505700000002</v>
      </c>
      <c r="Q1123" s="77"/>
      <c r="R1123" s="77"/>
      <c r="S1123" s="77"/>
      <c r="T1123" s="77"/>
      <c r="U1123" s="77"/>
      <c r="V1123" s="87"/>
      <c r="W1123" s="87"/>
      <c r="X1123" s="87"/>
      <c r="Y1123" s="77"/>
      <c r="Z1123" s="88"/>
      <c r="AA1123" s="35"/>
      <c r="AB1123" s="35"/>
    </row>
    <row r="1124" spans="1:28" x14ac:dyDescent="0.25">
      <c r="A1124" s="68" t="str">
        <f t="shared" si="54"/>
        <v>557847</v>
      </c>
      <c r="B1124" s="10">
        <f t="shared" si="55"/>
        <v>345.45420000000001</v>
      </c>
      <c r="C1124" s="77" t="s">
        <v>6278</v>
      </c>
      <c r="D1124" s="191" t="str">
        <f t="shared" si="53"/>
        <v>V-StrongLumio povrchový vyp./stmívač 12-24V,4A konektory Mini,stř.(405201)</v>
      </c>
      <c r="E1124" s="77" t="s">
        <v>6279</v>
      </c>
      <c r="F1124" s="77" t="s">
        <v>2402</v>
      </c>
      <c r="G1124" s="77" t="s">
        <v>2404</v>
      </c>
      <c r="H1124" s="77" t="s">
        <v>2403</v>
      </c>
      <c r="I1124" s="77" t="s">
        <v>795</v>
      </c>
      <c r="J1124" s="90">
        <v>1</v>
      </c>
      <c r="K1124" s="91">
        <v>1</v>
      </c>
      <c r="L1124" s="77" t="s">
        <v>6566</v>
      </c>
      <c r="M1124" s="78">
        <v>345.45420000000001</v>
      </c>
      <c r="N1124" s="79">
        <v>14.2928</v>
      </c>
      <c r="O1124" s="79">
        <v>0</v>
      </c>
      <c r="P1124" s="79">
        <v>0</v>
      </c>
      <c r="Q1124" s="77"/>
      <c r="R1124" s="77"/>
      <c r="S1124" s="77"/>
      <c r="T1124" s="77"/>
      <c r="U1124" s="77"/>
      <c r="V1124" s="87"/>
      <c r="W1124" s="87"/>
      <c r="X1124" s="87"/>
      <c r="Y1124" s="77"/>
      <c r="Z1124" s="88"/>
      <c r="AA1124" s="35"/>
      <c r="AB1124" s="35"/>
    </row>
    <row r="1125" spans="1:28" x14ac:dyDescent="0.25">
      <c r="A1125" s="68" t="str">
        <f t="shared" si="54"/>
        <v>557846</v>
      </c>
      <c r="B1125" s="10">
        <f t="shared" si="55"/>
        <v>359.09055000000001</v>
      </c>
      <c r="C1125" s="77" t="s">
        <v>6276</v>
      </c>
      <c r="D1125" s="191" t="str">
        <f t="shared" si="53"/>
        <v>V-StrongLumio povrchový vypínač/stmívač 12-24V, 4A konektory Mini, bílá (405200)</v>
      </c>
      <c r="E1125" s="77" t="s">
        <v>6277</v>
      </c>
      <c r="F1125" s="77" t="s">
        <v>2394</v>
      </c>
      <c r="G1125" s="77" t="s">
        <v>2396</v>
      </c>
      <c r="H1125" s="77" t="s">
        <v>2395</v>
      </c>
      <c r="I1125" s="77" t="s">
        <v>795</v>
      </c>
      <c r="J1125" s="90">
        <v>1</v>
      </c>
      <c r="K1125" s="91">
        <v>1</v>
      </c>
      <c r="L1125" s="77" t="s">
        <v>6566</v>
      </c>
      <c r="M1125" s="78">
        <v>359.09055000000001</v>
      </c>
      <c r="N1125" s="79">
        <v>14.85698</v>
      </c>
      <c r="O1125" s="79">
        <v>0</v>
      </c>
      <c r="P1125" s="79">
        <v>0</v>
      </c>
      <c r="Q1125" s="77"/>
      <c r="R1125" s="77"/>
      <c r="S1125" s="77"/>
      <c r="T1125" s="77"/>
      <c r="U1125" s="77"/>
      <c r="V1125" s="87"/>
      <c r="W1125" s="87"/>
      <c r="X1125" s="87"/>
      <c r="Y1125" s="77"/>
      <c r="Z1125" s="88"/>
      <c r="AA1125" s="35"/>
      <c r="AB1125" s="35"/>
    </row>
    <row r="1126" spans="1:28" x14ac:dyDescent="0.25">
      <c r="A1126" s="68" t="str">
        <f t="shared" si="54"/>
        <v>557845</v>
      </c>
      <c r="B1126" s="10">
        <f t="shared" si="55"/>
        <v>359.09055000000001</v>
      </c>
      <c r="C1126" s="77" t="s">
        <v>6274</v>
      </c>
      <c r="D1126" s="191" t="str">
        <f t="shared" si="53"/>
        <v>V-StrongLumio povrchový vypínač/stmívač 12-24V, 4A konektory Mini, černá(405199)</v>
      </c>
      <c r="E1126" s="77" t="s">
        <v>6275</v>
      </c>
      <c r="F1126" s="77" t="s">
        <v>2398</v>
      </c>
      <c r="G1126" s="77" t="s">
        <v>2400</v>
      </c>
      <c r="H1126" s="77" t="s">
        <v>2399</v>
      </c>
      <c r="I1126" s="77" t="s">
        <v>795</v>
      </c>
      <c r="J1126" s="90">
        <v>1</v>
      </c>
      <c r="K1126" s="91">
        <v>1</v>
      </c>
      <c r="L1126" s="77" t="s">
        <v>6566</v>
      </c>
      <c r="M1126" s="78">
        <v>359.09055000000001</v>
      </c>
      <c r="N1126" s="79">
        <v>13.728590000000001</v>
      </c>
      <c r="O1126" s="79">
        <v>0</v>
      </c>
      <c r="P1126" s="79">
        <v>0</v>
      </c>
      <c r="Q1126" s="77"/>
      <c r="R1126" s="77"/>
      <c r="S1126" s="77"/>
      <c r="T1126" s="77"/>
      <c r="U1126" s="77"/>
      <c r="V1126" s="87"/>
      <c r="W1126" s="87"/>
      <c r="X1126" s="87"/>
      <c r="Y1126" s="77"/>
      <c r="Z1126" s="88"/>
      <c r="AA1126" s="35"/>
      <c r="AB1126" s="35"/>
    </row>
    <row r="1127" spans="1:28" x14ac:dyDescent="0.25">
      <c r="A1127" s="68" t="str">
        <f t="shared" si="54"/>
        <v>310789</v>
      </c>
      <c r="B1127" s="10">
        <f t="shared" si="55"/>
        <v>1001.88</v>
      </c>
      <c r="C1127" s="77" t="s">
        <v>5684</v>
      </c>
      <c r="D1127" s="191" t="str">
        <f t="shared" si="53"/>
        <v>V-StrongLumio Power dálkový ovladač/stmívač 1x25A (284572)</v>
      </c>
      <c r="E1127" s="77" t="s">
        <v>4336</v>
      </c>
      <c r="F1127" s="77" t="s">
        <v>4337</v>
      </c>
      <c r="G1127" s="77" t="s">
        <v>4339</v>
      </c>
      <c r="H1127" s="77" t="s">
        <v>4338</v>
      </c>
      <c r="I1127" s="77" t="s">
        <v>795</v>
      </c>
      <c r="J1127" s="90">
        <v>1</v>
      </c>
      <c r="K1127" s="91">
        <v>1</v>
      </c>
      <c r="L1127" s="77" t="s">
        <v>6566</v>
      </c>
      <c r="M1127" s="78">
        <v>1001.88</v>
      </c>
      <c r="N1127" s="79">
        <v>35.275419999999997</v>
      </c>
      <c r="O1127" s="79">
        <v>98.03407</v>
      </c>
      <c r="P1127" s="79">
        <v>12109.49999</v>
      </c>
      <c r="Q1127" s="77"/>
      <c r="R1127" s="77"/>
      <c r="S1127" s="77"/>
      <c r="T1127" s="77"/>
      <c r="U1127" s="77"/>
      <c r="V1127" s="87"/>
      <c r="W1127" s="87"/>
      <c r="X1127" s="87"/>
      <c r="Y1127" s="77"/>
      <c r="Z1127" s="88"/>
      <c r="AA1127" s="35"/>
      <c r="AB1127" s="35"/>
    </row>
    <row r="1128" spans="1:28" x14ac:dyDescent="0.25">
      <c r="A1128" s="68" t="str">
        <f t="shared" si="54"/>
        <v>310783</v>
      </c>
      <c r="B1128" s="10">
        <f t="shared" si="55"/>
        <v>42.806399999999996</v>
      </c>
      <c r="C1128" s="77" t="s">
        <v>5685</v>
      </c>
      <c r="D1128" s="191" t="str">
        <f t="shared" si="53"/>
        <v>V-StrongLumio prodlužovací kabel 1,8m Mini konektor (285110)</v>
      </c>
      <c r="E1128" s="77" t="s">
        <v>4340</v>
      </c>
      <c r="F1128" s="77" t="s">
        <v>4341</v>
      </c>
      <c r="G1128" s="77" t="s">
        <v>4343</v>
      </c>
      <c r="H1128" s="77" t="s">
        <v>4342</v>
      </c>
      <c r="I1128" s="77" t="s">
        <v>795</v>
      </c>
      <c r="J1128" s="90">
        <v>100</v>
      </c>
      <c r="K1128" s="91">
        <v>1</v>
      </c>
      <c r="L1128" s="77" t="s">
        <v>6566</v>
      </c>
      <c r="M1128" s="78">
        <v>42.806399999999996</v>
      </c>
      <c r="N1128" s="79">
        <v>1.8251999999999999</v>
      </c>
      <c r="O1128" s="79">
        <v>5.8874300000000002</v>
      </c>
      <c r="P1128" s="79">
        <v>606.41282999999999</v>
      </c>
      <c r="Q1128" s="77"/>
      <c r="R1128" s="77"/>
      <c r="S1128" s="77"/>
      <c r="T1128" s="77"/>
      <c r="U1128" s="77"/>
      <c r="V1128" s="87"/>
      <c r="W1128" s="87"/>
      <c r="X1128" s="87"/>
      <c r="Y1128" s="77"/>
      <c r="Z1128" s="88"/>
      <c r="AA1128" s="35"/>
      <c r="AB1128" s="35"/>
    </row>
    <row r="1129" spans="1:28" x14ac:dyDescent="0.25">
      <c r="A1129" s="68" t="str">
        <f t="shared" si="54"/>
        <v>376942</v>
      </c>
      <c r="B1129" s="10">
        <f t="shared" si="55"/>
        <v>50.427300000000002</v>
      </c>
      <c r="C1129" s="77" t="s">
        <v>5686</v>
      </c>
      <c r="D1129" s="191" t="str">
        <f t="shared" si="53"/>
        <v>V-StrongLumio prodlužovací kabel 2m pro dveřní senzor 342519 a 342520 (362939)</v>
      </c>
      <c r="E1129" s="77" t="s">
        <v>4344</v>
      </c>
      <c r="F1129" s="77" t="s">
        <v>4345</v>
      </c>
      <c r="G1129" s="77" t="s">
        <v>4347</v>
      </c>
      <c r="H1129" s="77" t="s">
        <v>4346</v>
      </c>
      <c r="I1129" s="77" t="s">
        <v>795</v>
      </c>
      <c r="J1129" s="90">
        <v>1</v>
      </c>
      <c r="K1129" s="91">
        <v>1</v>
      </c>
      <c r="L1129" s="77" t="s">
        <v>6566</v>
      </c>
      <c r="M1129" s="78">
        <v>50.427300000000002</v>
      </c>
      <c r="N1129" s="79">
        <v>2.29352</v>
      </c>
      <c r="O1129" s="79">
        <v>7.2427200000000003</v>
      </c>
      <c r="P1129" s="79">
        <v>830.71330999999998</v>
      </c>
      <c r="Q1129" s="77"/>
      <c r="R1129" s="77"/>
      <c r="S1129" s="77"/>
      <c r="T1129" s="77"/>
      <c r="U1129" s="77"/>
      <c r="V1129" s="87"/>
      <c r="W1129" s="87"/>
      <c r="X1129" s="87"/>
      <c r="Y1129" s="77"/>
      <c r="Z1129" s="88"/>
      <c r="AA1129" s="35"/>
      <c r="AB1129" s="35"/>
    </row>
    <row r="1130" spans="1:28" x14ac:dyDescent="0.25">
      <c r="A1130" s="68" t="str">
        <f t="shared" si="54"/>
        <v>310660</v>
      </c>
      <c r="B1130" s="10">
        <f t="shared" si="55"/>
        <v>333.3528</v>
      </c>
      <c r="C1130" s="77" t="s">
        <v>5687</v>
      </c>
      <c r="D1130" s="191" t="str">
        <f t="shared" si="53"/>
        <v>V-StrongLumio profil LED Begtin 12 alu bílá 2000mm (285035)</v>
      </c>
      <c r="E1130" s="77" t="s">
        <v>4348</v>
      </c>
      <c r="F1130" s="77" t="s">
        <v>4349</v>
      </c>
      <c r="G1130" s="77" t="s">
        <v>4351</v>
      </c>
      <c r="H1130" s="77" t="s">
        <v>4350</v>
      </c>
      <c r="I1130" s="77" t="s">
        <v>795</v>
      </c>
      <c r="J1130" s="90">
        <v>100</v>
      </c>
      <c r="K1130" s="91">
        <v>1</v>
      </c>
      <c r="L1130" s="77" t="s">
        <v>6566</v>
      </c>
      <c r="M1130" s="78">
        <v>333.3528</v>
      </c>
      <c r="N1130" s="79">
        <v>12.862080000000001</v>
      </c>
      <c r="O1130" s="79">
        <v>46.269300000000001</v>
      </c>
      <c r="P1130" s="79">
        <v>4473.7299899999998</v>
      </c>
      <c r="Q1130" s="77"/>
      <c r="R1130" s="77"/>
      <c r="S1130" s="77"/>
      <c r="T1130" s="77"/>
      <c r="U1130" s="77"/>
      <c r="V1130" s="87"/>
      <c r="W1130" s="87"/>
      <c r="X1130" s="87"/>
      <c r="Y1130" s="77"/>
      <c r="Z1130" s="88"/>
      <c r="AA1130" s="35"/>
      <c r="AB1130" s="35"/>
    </row>
    <row r="1131" spans="1:28" x14ac:dyDescent="0.25">
      <c r="A1131" s="68" t="str">
        <f t="shared" si="54"/>
        <v>310664</v>
      </c>
      <c r="B1131" s="10">
        <f t="shared" si="55"/>
        <v>311.46600000000001</v>
      </c>
      <c r="C1131" s="77" t="s">
        <v>5688</v>
      </c>
      <c r="D1131" s="191" t="str">
        <f t="shared" si="53"/>
        <v>V-StrongLumio profil LED Begtin 12 alu černá 2000mm (285036)</v>
      </c>
      <c r="E1131" s="77" t="s">
        <v>4352</v>
      </c>
      <c r="F1131" s="77" t="s">
        <v>4353</v>
      </c>
      <c r="G1131" s="77" t="s">
        <v>4355</v>
      </c>
      <c r="H1131" s="77" t="s">
        <v>4354</v>
      </c>
      <c r="I1131" s="77" t="s">
        <v>795</v>
      </c>
      <c r="J1131" s="90">
        <v>100</v>
      </c>
      <c r="K1131" s="91">
        <v>1</v>
      </c>
      <c r="L1131" s="77" t="s">
        <v>6566</v>
      </c>
      <c r="M1131" s="78">
        <v>311.46600000000001</v>
      </c>
      <c r="N1131" s="79">
        <v>12.0176</v>
      </c>
      <c r="O1131" s="79">
        <v>32.518250000000002</v>
      </c>
      <c r="P1131" s="79">
        <v>4181.1699900000003</v>
      </c>
      <c r="Q1131" s="77"/>
      <c r="R1131" s="77"/>
      <c r="S1131" s="77"/>
      <c r="T1131" s="77"/>
      <c r="U1131" s="77"/>
      <c r="V1131" s="87"/>
      <c r="W1131" s="87"/>
      <c r="X1131" s="87"/>
      <c r="Y1131" s="77"/>
      <c r="Z1131" s="88"/>
      <c r="AA1131" s="35"/>
      <c r="AB1131" s="35"/>
    </row>
    <row r="1132" spans="1:28" x14ac:dyDescent="0.25">
      <c r="A1132" s="68" t="str">
        <f t="shared" si="54"/>
        <v>310657</v>
      </c>
      <c r="B1132" s="10">
        <f t="shared" si="55"/>
        <v>196.13939999999999</v>
      </c>
      <c r="C1132" s="77" t="s">
        <v>5689</v>
      </c>
      <c r="D1132" s="191" t="str">
        <f t="shared" si="53"/>
        <v>V-StrongLumio profil LED Begtin 12 alu elox 2000mm (285034)</v>
      </c>
      <c r="E1132" s="77" t="s">
        <v>4356</v>
      </c>
      <c r="F1132" s="77" t="s">
        <v>4357</v>
      </c>
      <c r="G1132" s="77" t="s">
        <v>4359</v>
      </c>
      <c r="H1132" s="77" t="s">
        <v>4358</v>
      </c>
      <c r="I1132" s="77" t="s">
        <v>795</v>
      </c>
      <c r="J1132" s="90">
        <v>100</v>
      </c>
      <c r="K1132" s="91">
        <v>1</v>
      </c>
      <c r="L1132" s="77" t="s">
        <v>6566</v>
      </c>
      <c r="M1132" s="78">
        <v>196.13939999999999</v>
      </c>
      <c r="N1132" s="79">
        <v>7.5678400000000003</v>
      </c>
      <c r="O1132" s="79">
        <v>21.881689999999999</v>
      </c>
      <c r="P1132" s="79">
        <v>2633.04</v>
      </c>
      <c r="Q1132" s="77"/>
      <c r="R1132" s="77"/>
      <c r="S1132" s="77"/>
      <c r="T1132" s="77"/>
      <c r="U1132" s="77"/>
      <c r="V1132" s="87"/>
      <c r="W1132" s="87"/>
      <c r="X1132" s="87"/>
      <c r="Y1132" s="77"/>
      <c r="Z1132" s="88"/>
      <c r="AA1132" s="35"/>
      <c r="AB1132" s="35"/>
    </row>
    <row r="1133" spans="1:28" x14ac:dyDescent="0.25">
      <c r="A1133" s="68" t="str">
        <f t="shared" si="54"/>
        <v>310684</v>
      </c>
      <c r="B1133" s="10">
        <f t="shared" si="55"/>
        <v>313.9914</v>
      </c>
      <c r="C1133" s="77" t="s">
        <v>5690</v>
      </c>
      <c r="D1133" s="191" t="str">
        <f t="shared" si="53"/>
        <v>V-StrongLumio profil LED Begtin 12 alu elox 3000mm (285037)</v>
      </c>
      <c r="E1133" s="77" t="s">
        <v>4360</v>
      </c>
      <c r="F1133" s="77" t="s">
        <v>4361</v>
      </c>
      <c r="G1133" s="77" t="s">
        <v>4363</v>
      </c>
      <c r="H1133" s="77" t="s">
        <v>4362</v>
      </c>
      <c r="I1133" s="77" t="s">
        <v>795</v>
      </c>
      <c r="J1133" s="90">
        <v>100</v>
      </c>
      <c r="K1133" s="91">
        <v>1</v>
      </c>
      <c r="L1133" s="77" t="s">
        <v>6566</v>
      </c>
      <c r="M1133" s="78">
        <v>313.9914</v>
      </c>
      <c r="N1133" s="79">
        <v>12.11504</v>
      </c>
      <c r="O1133" s="79">
        <v>36.279220000000002</v>
      </c>
      <c r="P1133" s="79">
        <v>4217.73999</v>
      </c>
      <c r="Q1133" s="77"/>
      <c r="R1133" s="77"/>
      <c r="S1133" s="77"/>
      <c r="T1133" s="77"/>
      <c r="U1133" s="77"/>
      <c r="V1133" s="87"/>
      <c r="W1133" s="87"/>
      <c r="X1133" s="87"/>
      <c r="Y1133" s="77"/>
      <c r="Z1133" s="88"/>
      <c r="AA1133" s="35"/>
      <c r="AB1133" s="35"/>
    </row>
    <row r="1134" spans="1:28" x14ac:dyDescent="0.25">
      <c r="A1134" s="68" t="str">
        <f t="shared" si="54"/>
        <v>310699</v>
      </c>
      <c r="B1134" s="10">
        <f t="shared" si="55"/>
        <v>289.57920000000001</v>
      </c>
      <c r="C1134" s="77" t="s">
        <v>5691</v>
      </c>
      <c r="D1134" s="191" t="str">
        <f t="shared" si="53"/>
        <v>V-StrongLumio profil LED Begton alu bílá 2000mm (285042)</v>
      </c>
      <c r="E1134" s="77" t="s">
        <v>4364</v>
      </c>
      <c r="F1134" s="77" t="s">
        <v>4365</v>
      </c>
      <c r="G1134" s="77" t="s">
        <v>4367</v>
      </c>
      <c r="H1134" s="77" t="s">
        <v>4366</v>
      </c>
      <c r="I1134" s="77" t="s">
        <v>795</v>
      </c>
      <c r="J1134" s="90">
        <v>100</v>
      </c>
      <c r="K1134" s="91">
        <v>1</v>
      </c>
      <c r="L1134" s="77" t="s">
        <v>6566</v>
      </c>
      <c r="M1134" s="78">
        <v>289.57920000000001</v>
      </c>
      <c r="N1134" s="79">
        <v>11.173120000000001</v>
      </c>
      <c r="O1134" s="79">
        <v>32.468330000000002</v>
      </c>
      <c r="P1134" s="79">
        <v>3888.6099899999999</v>
      </c>
      <c r="Q1134" s="77"/>
      <c r="R1134" s="77"/>
      <c r="S1134" s="77"/>
      <c r="T1134" s="77"/>
      <c r="U1134" s="77"/>
      <c r="V1134" s="87"/>
      <c r="W1134" s="87"/>
      <c r="X1134" s="87"/>
      <c r="Y1134" s="77"/>
      <c r="Z1134" s="88"/>
      <c r="AA1134" s="35"/>
      <c r="AB1134" s="35"/>
    </row>
    <row r="1135" spans="1:28" x14ac:dyDescent="0.25">
      <c r="A1135" s="68" t="str">
        <f t="shared" si="54"/>
        <v>310700</v>
      </c>
      <c r="B1135" s="10">
        <f t="shared" si="55"/>
        <v>262.64159999999998</v>
      </c>
      <c r="C1135" s="77" t="s">
        <v>5692</v>
      </c>
      <c r="D1135" s="191" t="str">
        <f t="shared" si="53"/>
        <v>V-StrongLumio profil LED Begton alu černá 2000mm (285043)</v>
      </c>
      <c r="E1135" s="77" t="s">
        <v>4368</v>
      </c>
      <c r="F1135" s="77" t="s">
        <v>4369</v>
      </c>
      <c r="G1135" s="77" t="s">
        <v>4371</v>
      </c>
      <c r="H1135" s="77" t="s">
        <v>4370</v>
      </c>
      <c r="I1135" s="77" t="s">
        <v>795</v>
      </c>
      <c r="J1135" s="90">
        <v>100</v>
      </c>
      <c r="K1135" s="91">
        <v>1</v>
      </c>
      <c r="L1135" s="77" t="s">
        <v>6566</v>
      </c>
      <c r="M1135" s="78">
        <v>262.64159999999998</v>
      </c>
      <c r="N1135" s="79">
        <v>10.133760000000001</v>
      </c>
      <c r="O1135" s="79">
        <v>27.507539999999999</v>
      </c>
      <c r="P1135" s="79">
        <v>3535.1000100000001</v>
      </c>
      <c r="Q1135" s="77"/>
      <c r="R1135" s="77"/>
      <c r="S1135" s="77"/>
      <c r="T1135" s="77"/>
      <c r="U1135" s="77"/>
      <c r="V1135" s="87"/>
      <c r="W1135" s="87"/>
      <c r="X1135" s="87"/>
      <c r="Y1135" s="77"/>
      <c r="Z1135" s="88"/>
      <c r="AA1135" s="35"/>
      <c r="AB1135" s="35"/>
    </row>
    <row r="1136" spans="1:28" x14ac:dyDescent="0.25">
      <c r="A1136" s="68" t="str">
        <f t="shared" si="54"/>
        <v>308439</v>
      </c>
      <c r="B1136" s="10">
        <f t="shared" si="55"/>
        <v>186.87960000000001</v>
      </c>
      <c r="C1136" s="77" t="s">
        <v>5693</v>
      </c>
      <c r="D1136" s="191" t="str">
        <f t="shared" si="53"/>
        <v>V-StrongLumio profil LED Begton alu elox 2000mm (285041)</v>
      </c>
      <c r="E1136" s="77" t="s">
        <v>4372</v>
      </c>
      <c r="F1136" s="77" t="s">
        <v>4373</v>
      </c>
      <c r="G1136" s="77" t="s">
        <v>4375</v>
      </c>
      <c r="H1136" s="77" t="s">
        <v>4374</v>
      </c>
      <c r="I1136" s="77" t="s">
        <v>795</v>
      </c>
      <c r="J1136" s="90">
        <v>100</v>
      </c>
      <c r="K1136" s="91">
        <v>1</v>
      </c>
      <c r="L1136" s="77" t="s">
        <v>6566</v>
      </c>
      <c r="M1136" s="78">
        <v>186.87960000000001</v>
      </c>
      <c r="N1136" s="79">
        <v>7.2105600000000001</v>
      </c>
      <c r="O1136" s="79">
        <v>20.649570000000001</v>
      </c>
      <c r="P1136" s="79">
        <v>2511.1400100000001</v>
      </c>
      <c r="Q1136" s="77"/>
      <c r="R1136" s="77"/>
      <c r="S1136" s="77"/>
      <c r="T1136" s="77"/>
      <c r="U1136" s="77"/>
      <c r="V1136" s="87"/>
      <c r="W1136" s="87"/>
      <c r="X1136" s="87"/>
      <c r="Y1136" s="77"/>
      <c r="Z1136" s="88"/>
      <c r="AA1136" s="35"/>
      <c r="AB1136" s="35"/>
    </row>
    <row r="1137" spans="1:28" x14ac:dyDescent="0.25">
      <c r="A1137" s="68" t="str">
        <f t="shared" si="54"/>
        <v>308440</v>
      </c>
      <c r="B1137" s="10">
        <f t="shared" si="55"/>
        <v>298.839</v>
      </c>
      <c r="C1137" s="77" t="s">
        <v>5694</v>
      </c>
      <c r="D1137" s="191" t="str">
        <f t="shared" si="53"/>
        <v>V-StrongLumio profil LED Begton alu elox 3000mm (285044)</v>
      </c>
      <c r="E1137" s="77" t="s">
        <v>4376</v>
      </c>
      <c r="F1137" s="77" t="s">
        <v>4377</v>
      </c>
      <c r="G1137" s="77" t="s">
        <v>4379</v>
      </c>
      <c r="H1137" s="77" t="s">
        <v>4378</v>
      </c>
      <c r="I1137" s="77" t="s">
        <v>795</v>
      </c>
      <c r="J1137" s="90">
        <v>100</v>
      </c>
      <c r="K1137" s="91">
        <v>0.5</v>
      </c>
      <c r="L1137" s="77" t="s">
        <v>6566</v>
      </c>
      <c r="M1137" s="78">
        <v>298.839</v>
      </c>
      <c r="N1137" s="79">
        <v>11.5304</v>
      </c>
      <c r="O1137" s="79">
        <v>35.272820000000003</v>
      </c>
      <c r="P1137" s="79">
        <v>4010.51001</v>
      </c>
      <c r="Q1137" s="77"/>
      <c r="R1137" s="77"/>
      <c r="S1137" s="77"/>
      <c r="T1137" s="77"/>
      <c r="U1137" s="77"/>
      <c r="V1137" s="87"/>
      <c r="W1137" s="87"/>
      <c r="X1137" s="87"/>
      <c r="Y1137" s="77"/>
      <c r="Z1137" s="88"/>
      <c r="AA1137" s="35"/>
      <c r="AB1137" s="35"/>
    </row>
    <row r="1138" spans="1:28" x14ac:dyDescent="0.25">
      <c r="A1138" s="68" t="str">
        <f t="shared" si="54"/>
        <v>553789</v>
      </c>
      <c r="B1138" s="10">
        <f t="shared" si="55"/>
        <v>413.32380000000001</v>
      </c>
      <c r="C1138" s="77" t="s">
        <v>5695</v>
      </c>
      <c r="D1138" s="191" t="str">
        <f t="shared" si="53"/>
        <v>V-StrongLumio profil LED Cabi 12 E alu bílá 2000mm (542856)</v>
      </c>
      <c r="E1138" s="77" t="s">
        <v>4380</v>
      </c>
      <c r="F1138" s="77" t="s">
        <v>4381</v>
      </c>
      <c r="G1138" s="77" t="s">
        <v>4382</v>
      </c>
      <c r="H1138" s="77" t="s">
        <v>2504</v>
      </c>
      <c r="I1138" s="77" t="s">
        <v>795</v>
      </c>
      <c r="J1138" s="90">
        <v>10</v>
      </c>
      <c r="K1138" s="91">
        <v>1</v>
      </c>
      <c r="L1138" s="77" t="s">
        <v>6566</v>
      </c>
      <c r="M1138" s="78">
        <v>413.32380000000001</v>
      </c>
      <c r="N1138" s="79">
        <v>15.94768</v>
      </c>
      <c r="O1138" s="79">
        <v>47.355800000000002</v>
      </c>
      <c r="P1138" s="79">
        <v>5704.5831699999999</v>
      </c>
      <c r="Q1138" s="77"/>
      <c r="R1138" s="77"/>
      <c r="S1138" s="77"/>
      <c r="T1138" s="77"/>
      <c r="U1138" s="77"/>
      <c r="V1138" s="87"/>
      <c r="W1138" s="87"/>
      <c r="X1138" s="87"/>
      <c r="Y1138" s="77"/>
      <c r="Z1138" s="88"/>
      <c r="AA1138" s="35"/>
      <c r="AB1138" s="35"/>
    </row>
    <row r="1139" spans="1:28" x14ac:dyDescent="0.25">
      <c r="A1139" s="68" t="str">
        <f t="shared" si="54"/>
        <v>553788</v>
      </c>
      <c r="B1139" s="10">
        <f t="shared" si="55"/>
        <v>892.30799999999999</v>
      </c>
      <c r="C1139" s="77" t="s">
        <v>5696</v>
      </c>
      <c r="D1139" s="191" t="str">
        <f t="shared" si="53"/>
        <v>V-StrongLumio profil LED Cabi 12 E alu bílý 4050mm (481838)</v>
      </c>
      <c r="E1139" s="77" t="s">
        <v>4383</v>
      </c>
      <c r="F1139" s="77" t="s">
        <v>4384</v>
      </c>
      <c r="G1139" s="77" t="s">
        <v>4386</v>
      </c>
      <c r="H1139" s="77" t="s">
        <v>4385</v>
      </c>
      <c r="I1139" s="77" t="s">
        <v>795</v>
      </c>
      <c r="J1139" s="90">
        <v>10</v>
      </c>
      <c r="K1139" s="91">
        <v>1</v>
      </c>
      <c r="L1139" s="77" t="s">
        <v>6566</v>
      </c>
      <c r="M1139" s="78">
        <v>892.30799999999999</v>
      </c>
      <c r="N1139" s="79">
        <v>34.428800000000003</v>
      </c>
      <c r="O1139" s="79">
        <v>102.33668</v>
      </c>
      <c r="P1139" s="79">
        <v>12327.700919999999</v>
      </c>
      <c r="Q1139" s="77"/>
      <c r="R1139" s="77"/>
      <c r="S1139" s="77"/>
      <c r="T1139" s="77"/>
      <c r="U1139" s="77"/>
      <c r="V1139" s="87"/>
      <c r="W1139" s="87"/>
      <c r="X1139" s="87"/>
      <c r="Y1139" s="77"/>
      <c r="Z1139" s="88"/>
      <c r="AA1139" s="35"/>
      <c r="AB1139" s="35"/>
    </row>
    <row r="1140" spans="1:28" x14ac:dyDescent="0.25">
      <c r="A1140" s="68" t="str">
        <f t="shared" si="54"/>
        <v>310777</v>
      </c>
      <c r="B1140" s="10">
        <f t="shared" si="55"/>
        <v>283.6866</v>
      </c>
      <c r="C1140" s="77" t="s">
        <v>5697</v>
      </c>
      <c r="D1140" s="191" t="str">
        <f t="shared" si="53"/>
        <v>V-StrongLumio profil LED Cabi12 E alu anodovaný 2000mm (285082)</v>
      </c>
      <c r="E1140" s="77" t="s">
        <v>4387</v>
      </c>
      <c r="F1140" s="77" t="s">
        <v>4388</v>
      </c>
      <c r="G1140" s="77" t="s">
        <v>4390</v>
      </c>
      <c r="H1140" s="77" t="s">
        <v>4389</v>
      </c>
      <c r="I1140" s="77" t="s">
        <v>795</v>
      </c>
      <c r="J1140" s="90">
        <v>10</v>
      </c>
      <c r="K1140" s="91">
        <v>1</v>
      </c>
      <c r="L1140" s="77" t="s">
        <v>6566</v>
      </c>
      <c r="M1140" s="78">
        <v>283.6866</v>
      </c>
      <c r="N1140" s="79">
        <v>10.94576</v>
      </c>
      <c r="O1140" s="79">
        <v>32.27704</v>
      </c>
      <c r="P1140" s="79">
        <v>3815.4699900000001</v>
      </c>
      <c r="Q1140" s="77"/>
      <c r="R1140" s="77"/>
      <c r="S1140" s="77"/>
      <c r="T1140" s="77"/>
      <c r="U1140" s="77"/>
      <c r="V1140" s="87"/>
      <c r="W1140" s="87"/>
      <c r="X1140" s="87"/>
      <c r="Y1140" s="77"/>
      <c r="Z1140" s="88"/>
      <c r="AA1140" s="35"/>
      <c r="AB1140" s="35"/>
    </row>
    <row r="1141" spans="1:28" x14ac:dyDescent="0.25">
      <c r="A1141" s="68" t="str">
        <f t="shared" si="54"/>
        <v>484133</v>
      </c>
      <c r="B1141" s="10">
        <f t="shared" si="55"/>
        <v>648.18600000000004</v>
      </c>
      <c r="C1141" s="77" t="s">
        <v>5698</v>
      </c>
      <c r="D1141" s="191" t="str">
        <f t="shared" si="53"/>
        <v>V-StrongLumio profil LED Cabi12 E alu černý 3000mm (484130)</v>
      </c>
      <c r="E1141" s="77" t="s">
        <v>4391</v>
      </c>
      <c r="F1141" s="77" t="s">
        <v>4392</v>
      </c>
      <c r="G1141" s="77" t="s">
        <v>4393</v>
      </c>
      <c r="H1141" s="77" t="s">
        <v>2520</v>
      </c>
      <c r="I1141" s="77" t="s">
        <v>795</v>
      </c>
      <c r="J1141" s="90">
        <v>1</v>
      </c>
      <c r="K1141" s="91">
        <v>1</v>
      </c>
      <c r="L1141" s="77" t="s">
        <v>6566</v>
      </c>
      <c r="M1141" s="78">
        <v>648.18600000000004</v>
      </c>
      <c r="N1141" s="79">
        <v>25.009599999999999</v>
      </c>
      <c r="O1141" s="79">
        <v>78.964160000000007</v>
      </c>
      <c r="P1141" s="79">
        <v>9032.7900000000009</v>
      </c>
      <c r="Q1141" s="77"/>
      <c r="R1141" s="77"/>
      <c r="S1141" s="77"/>
      <c r="T1141" s="77"/>
      <c r="U1141" s="77"/>
      <c r="V1141" s="87"/>
      <c r="W1141" s="87"/>
      <c r="X1141" s="87"/>
      <c r="Y1141" s="77"/>
      <c r="Z1141" s="88"/>
      <c r="AA1141" s="35"/>
      <c r="AB1141" s="35"/>
    </row>
    <row r="1142" spans="1:28" x14ac:dyDescent="0.25">
      <c r="A1142" s="68" t="str">
        <f t="shared" si="54"/>
        <v>208159</v>
      </c>
      <c r="B1142" s="10">
        <f t="shared" si="55"/>
        <v>173.41079999999999</v>
      </c>
      <c r="C1142" s="77" t="s">
        <v>5699</v>
      </c>
      <c r="D1142" s="191" t="str">
        <f t="shared" si="53"/>
        <v>V-StrongLumio profil LED Corner 10 alu anodovaný 1000mm (130636)</v>
      </c>
      <c r="E1142" s="77" t="s">
        <v>4394</v>
      </c>
      <c r="F1142" s="77" t="s">
        <v>4395</v>
      </c>
      <c r="G1142" s="77" t="s">
        <v>4397</v>
      </c>
      <c r="H1142" s="77" t="s">
        <v>4396</v>
      </c>
      <c r="I1142" s="77" t="s">
        <v>795</v>
      </c>
      <c r="J1142" s="90">
        <v>100</v>
      </c>
      <c r="K1142" s="91">
        <v>1</v>
      </c>
      <c r="L1142" s="77" t="s">
        <v>6566</v>
      </c>
      <c r="M1142" s="78">
        <v>173.41079999999999</v>
      </c>
      <c r="N1142" s="79">
        <v>6.6908799999999999</v>
      </c>
      <c r="O1142" s="79">
        <v>18.827590000000001</v>
      </c>
      <c r="P1142" s="79">
        <v>2328.2900100000002</v>
      </c>
      <c r="Q1142" s="77"/>
      <c r="R1142" s="77"/>
      <c r="S1142" s="77"/>
      <c r="T1142" s="77"/>
      <c r="U1142" s="77"/>
      <c r="V1142" s="87"/>
      <c r="W1142" s="87"/>
      <c r="X1142" s="87"/>
      <c r="Y1142" s="77"/>
      <c r="Z1142" s="88"/>
      <c r="AA1142" s="35"/>
      <c r="AB1142" s="35"/>
    </row>
    <row r="1143" spans="1:28" x14ac:dyDescent="0.25">
      <c r="A1143" s="68" t="str">
        <f t="shared" si="54"/>
        <v>208160</v>
      </c>
      <c r="B1143" s="10">
        <f t="shared" si="55"/>
        <v>340.0872</v>
      </c>
      <c r="C1143" s="77" t="s">
        <v>5700</v>
      </c>
      <c r="D1143" s="191" t="str">
        <f t="shared" si="53"/>
        <v>V-StrongLumio profil LED Corner 10 alu anodovaný 2000mm (130637)</v>
      </c>
      <c r="E1143" s="77" t="s">
        <v>4398</v>
      </c>
      <c r="F1143" s="77" t="s">
        <v>4399</v>
      </c>
      <c r="G1143" s="77" t="s">
        <v>4401</v>
      </c>
      <c r="H1143" s="77" t="s">
        <v>4400</v>
      </c>
      <c r="I1143" s="77" t="s">
        <v>795</v>
      </c>
      <c r="J1143" s="90">
        <v>100</v>
      </c>
      <c r="K1143" s="91">
        <v>1</v>
      </c>
      <c r="L1143" s="77" t="s">
        <v>6566</v>
      </c>
      <c r="M1143" s="78">
        <v>340.0872</v>
      </c>
      <c r="N1143" s="79">
        <v>13.121919999999999</v>
      </c>
      <c r="O1143" s="79">
        <v>38.78631</v>
      </c>
      <c r="P1143" s="79">
        <v>4559.0600100000001</v>
      </c>
      <c r="Q1143" s="77"/>
      <c r="R1143" s="77"/>
      <c r="S1143" s="77"/>
      <c r="T1143" s="77"/>
      <c r="U1143" s="77"/>
      <c r="V1143" s="87"/>
      <c r="W1143" s="87"/>
      <c r="X1143" s="87"/>
      <c r="Y1143" s="77"/>
      <c r="Z1143" s="88"/>
      <c r="AA1143" s="35"/>
      <c r="AB1143" s="35"/>
    </row>
    <row r="1144" spans="1:28" x14ac:dyDescent="0.25">
      <c r="A1144" s="68" t="str">
        <f t="shared" si="54"/>
        <v>245935</v>
      </c>
      <c r="B1144" s="10">
        <f t="shared" si="55"/>
        <v>526.125</v>
      </c>
      <c r="C1144" s="77" t="s">
        <v>5701</v>
      </c>
      <c r="D1144" s="191" t="str">
        <f t="shared" si="53"/>
        <v>V-StrongLumio profil LED Corner 10 alu anodovaný 3000mm (244329)</v>
      </c>
      <c r="E1144" s="77" t="s">
        <v>4402</v>
      </c>
      <c r="F1144" s="77" t="s">
        <v>4403</v>
      </c>
      <c r="G1144" s="77" t="s">
        <v>4403</v>
      </c>
      <c r="H1144" s="77" t="s">
        <v>4404</v>
      </c>
      <c r="I1144" s="77" t="s">
        <v>795</v>
      </c>
      <c r="J1144" s="90">
        <v>100</v>
      </c>
      <c r="K1144" s="91">
        <v>0.5</v>
      </c>
      <c r="L1144" s="77" t="s">
        <v>6566</v>
      </c>
      <c r="M1144" s="78">
        <v>526.125</v>
      </c>
      <c r="N1144" s="79">
        <v>20.3</v>
      </c>
      <c r="O1144" s="79">
        <v>60.781829999999999</v>
      </c>
      <c r="P1144" s="79">
        <v>7058.01</v>
      </c>
      <c r="Q1144" s="77"/>
      <c r="R1144" s="77"/>
      <c r="S1144" s="77"/>
      <c r="T1144" s="77"/>
      <c r="U1144" s="77"/>
      <c r="V1144" s="87"/>
      <c r="W1144" s="87"/>
      <c r="X1144" s="87"/>
      <c r="Y1144" s="77"/>
      <c r="Z1144" s="88"/>
      <c r="AA1144" s="35"/>
      <c r="AB1144" s="35"/>
    </row>
    <row r="1145" spans="1:28" x14ac:dyDescent="0.25">
      <c r="A1145" s="68" t="str">
        <f t="shared" si="54"/>
        <v>306368</v>
      </c>
      <c r="B1145" s="10">
        <f t="shared" si="55"/>
        <v>675.96540000000005</v>
      </c>
      <c r="C1145" s="77" t="s">
        <v>5702</v>
      </c>
      <c r="D1145" s="191" t="str">
        <f t="shared" si="53"/>
        <v>V-StrongLumio profil LED Corner 10 alu anodovaný 4050mm (252278)</v>
      </c>
      <c r="E1145" s="77" t="s">
        <v>4405</v>
      </c>
      <c r="F1145" s="77" t="s">
        <v>4406</v>
      </c>
      <c r="G1145" s="77" t="s">
        <v>4408</v>
      </c>
      <c r="H1145" s="77" t="s">
        <v>4407</v>
      </c>
      <c r="I1145" s="77" t="s">
        <v>795</v>
      </c>
      <c r="J1145" s="90">
        <v>100</v>
      </c>
      <c r="K1145" s="91">
        <v>1</v>
      </c>
      <c r="L1145" s="77" t="s">
        <v>6566</v>
      </c>
      <c r="M1145" s="78">
        <v>675.96540000000005</v>
      </c>
      <c r="N1145" s="79">
        <v>26.081440000000001</v>
      </c>
      <c r="O1145" s="79">
        <v>77.816590000000005</v>
      </c>
      <c r="P1145" s="79">
        <v>9081.5499899999995</v>
      </c>
      <c r="Q1145" s="77"/>
      <c r="R1145" s="77"/>
      <c r="S1145" s="77"/>
      <c r="T1145" s="77"/>
      <c r="U1145" s="77"/>
      <c r="V1145" s="87"/>
      <c r="W1145" s="87"/>
      <c r="X1145" s="87"/>
      <c r="Y1145" s="77"/>
      <c r="Z1145" s="88"/>
      <c r="AA1145" s="35"/>
      <c r="AB1145" s="35"/>
    </row>
    <row r="1146" spans="1:28" x14ac:dyDescent="0.25">
      <c r="A1146" s="68" t="str">
        <f t="shared" si="54"/>
        <v>385077</v>
      </c>
      <c r="B1146" s="10">
        <f t="shared" si="55"/>
        <v>261.7998</v>
      </c>
      <c r="C1146" s="77" t="s">
        <v>5703</v>
      </c>
      <c r="D1146" s="191" t="str">
        <f t="shared" si="53"/>
        <v>V-StrongLumio profil LED Corner 10 alu bílý 1000mm (231271)</v>
      </c>
      <c r="E1146" s="77" t="s">
        <v>4409</v>
      </c>
      <c r="F1146" s="77" t="s">
        <v>4410</v>
      </c>
      <c r="G1146" s="77" t="s">
        <v>4412</v>
      </c>
      <c r="H1146" s="77" t="s">
        <v>4411</v>
      </c>
      <c r="I1146" s="77" t="s">
        <v>795</v>
      </c>
      <c r="J1146" s="90">
        <v>100</v>
      </c>
      <c r="K1146" s="91">
        <v>1</v>
      </c>
      <c r="L1146" s="77" t="s">
        <v>6566</v>
      </c>
      <c r="M1146" s="78">
        <v>261.7998</v>
      </c>
      <c r="N1146" s="79">
        <v>10.101279999999999</v>
      </c>
      <c r="O1146" s="79">
        <v>28.00835</v>
      </c>
      <c r="P1146" s="79">
        <v>3644.8100100000001</v>
      </c>
      <c r="Q1146" s="77"/>
      <c r="R1146" s="77"/>
      <c r="S1146" s="77"/>
      <c r="T1146" s="77"/>
      <c r="U1146" s="77"/>
      <c r="V1146" s="87"/>
      <c r="W1146" s="87"/>
      <c r="X1146" s="87"/>
      <c r="Y1146" s="77"/>
      <c r="Z1146" s="88"/>
      <c r="AA1146" s="35"/>
      <c r="AB1146" s="35"/>
    </row>
    <row r="1147" spans="1:28" x14ac:dyDescent="0.25">
      <c r="A1147" s="68" t="str">
        <f t="shared" si="54"/>
        <v>245936</v>
      </c>
      <c r="B1147" s="10">
        <f t="shared" si="55"/>
        <v>505.92180000000002</v>
      </c>
      <c r="C1147" s="77" t="s">
        <v>5704</v>
      </c>
      <c r="D1147" s="191" t="str">
        <f t="shared" si="53"/>
        <v>V-StrongLumio profil LED Corner 10 alu bílý 2000mm (230908)</v>
      </c>
      <c r="E1147" s="77" t="s">
        <v>4413</v>
      </c>
      <c r="F1147" s="77" t="s">
        <v>4414</v>
      </c>
      <c r="G1147" s="77" t="s">
        <v>4416</v>
      </c>
      <c r="H1147" s="77" t="s">
        <v>4415</v>
      </c>
      <c r="I1147" s="77" t="s">
        <v>795</v>
      </c>
      <c r="J1147" s="90">
        <v>100</v>
      </c>
      <c r="K1147" s="91">
        <v>0.5</v>
      </c>
      <c r="L1147" s="77" t="s">
        <v>6566</v>
      </c>
      <c r="M1147" s="78">
        <v>505.92180000000002</v>
      </c>
      <c r="N1147" s="79">
        <v>19.520479999999999</v>
      </c>
      <c r="O1147" s="79">
        <v>52.789650000000002</v>
      </c>
      <c r="P1147" s="79">
        <v>6802.02</v>
      </c>
      <c r="Q1147" s="77"/>
      <c r="R1147" s="77"/>
      <c r="S1147" s="77"/>
      <c r="T1147" s="77"/>
      <c r="U1147" s="77"/>
      <c r="V1147" s="87"/>
      <c r="W1147" s="87"/>
      <c r="X1147" s="87"/>
      <c r="Y1147" s="77"/>
      <c r="Z1147" s="88"/>
      <c r="AA1147" s="35"/>
      <c r="AB1147" s="35"/>
    </row>
    <row r="1148" spans="1:28" x14ac:dyDescent="0.25">
      <c r="A1148" s="68" t="str">
        <f t="shared" si="54"/>
        <v>306402</v>
      </c>
      <c r="B1148" s="10">
        <f t="shared" si="55"/>
        <v>793.81740000000002</v>
      </c>
      <c r="C1148" s="77" t="s">
        <v>5705</v>
      </c>
      <c r="D1148" s="191" t="str">
        <f t="shared" si="53"/>
        <v>V-StrongLumio profil LED Corner 10 alu bílý 3000mm (285026)</v>
      </c>
      <c r="E1148" s="77" t="s">
        <v>4417</v>
      </c>
      <c r="F1148" s="77" t="s">
        <v>4418</v>
      </c>
      <c r="G1148" s="77" t="s">
        <v>4420</v>
      </c>
      <c r="H1148" s="77" t="s">
        <v>4419</v>
      </c>
      <c r="I1148" s="77" t="s">
        <v>795</v>
      </c>
      <c r="J1148" s="90">
        <v>10</v>
      </c>
      <c r="K1148" s="91">
        <v>1</v>
      </c>
      <c r="L1148" s="77" t="s">
        <v>6566</v>
      </c>
      <c r="M1148" s="78">
        <v>793.81740000000002</v>
      </c>
      <c r="N1148" s="79">
        <v>30.628640000000001</v>
      </c>
      <c r="O1148" s="79">
        <v>100.35117</v>
      </c>
      <c r="P1148" s="79">
        <v>10654.05999</v>
      </c>
      <c r="Q1148" s="77"/>
      <c r="R1148" s="77"/>
      <c r="S1148" s="77"/>
      <c r="T1148" s="77"/>
      <c r="U1148" s="77"/>
      <c r="V1148" s="87"/>
      <c r="W1148" s="87"/>
      <c r="X1148" s="87"/>
      <c r="Y1148" s="77"/>
      <c r="Z1148" s="88"/>
      <c r="AA1148" s="35"/>
      <c r="AB1148" s="35"/>
    </row>
    <row r="1149" spans="1:28" x14ac:dyDescent="0.25">
      <c r="A1149" s="68" t="str">
        <f t="shared" si="54"/>
        <v>385090</v>
      </c>
      <c r="B1149" s="10">
        <f t="shared" si="55"/>
        <v>1049.7246</v>
      </c>
      <c r="C1149" s="77" t="s">
        <v>5706</v>
      </c>
      <c r="D1149" s="191" t="str">
        <f t="shared" si="53"/>
        <v>V-StrongLumio profil LED Corner 10 alu bílý 4050mm (353538)</v>
      </c>
      <c r="E1149" s="77" t="s">
        <v>4421</v>
      </c>
      <c r="F1149" s="77" t="s">
        <v>4422</v>
      </c>
      <c r="G1149" s="77" t="s">
        <v>4424</v>
      </c>
      <c r="H1149" s="77" t="s">
        <v>4423</v>
      </c>
      <c r="I1149" s="77" t="s">
        <v>795</v>
      </c>
      <c r="J1149" s="90">
        <v>10</v>
      </c>
      <c r="K1149" s="91">
        <v>1</v>
      </c>
      <c r="L1149" s="77" t="s">
        <v>6566</v>
      </c>
      <c r="M1149" s="78">
        <v>1049.7246</v>
      </c>
      <c r="N1149" s="79">
        <v>40.502560000000003</v>
      </c>
      <c r="O1149" s="79">
        <v>119.10290999999999</v>
      </c>
      <c r="P1149" s="79">
        <v>14091.63999</v>
      </c>
      <c r="Q1149" s="77"/>
      <c r="R1149" s="77"/>
      <c r="S1149" s="77"/>
      <c r="T1149" s="77"/>
      <c r="U1149" s="77"/>
      <c r="V1149" s="87"/>
      <c r="W1149" s="87"/>
      <c r="X1149" s="87"/>
      <c r="Y1149" s="77"/>
      <c r="Z1149" s="88"/>
      <c r="AA1149" s="35"/>
      <c r="AB1149" s="35"/>
    </row>
    <row r="1150" spans="1:28" x14ac:dyDescent="0.25">
      <c r="A1150" s="68" t="str">
        <f t="shared" si="54"/>
        <v>385076</v>
      </c>
      <c r="B1150" s="10">
        <f t="shared" si="55"/>
        <v>235.70400000000001</v>
      </c>
      <c r="C1150" s="77" t="s">
        <v>5707</v>
      </c>
      <c r="D1150" s="191" t="str">
        <f t="shared" si="53"/>
        <v>V-StrongLumio profil LED Corner 10 alu černý 1000mm (231270)</v>
      </c>
      <c r="E1150" s="77" t="s">
        <v>4425</v>
      </c>
      <c r="F1150" s="77" t="s">
        <v>4426</v>
      </c>
      <c r="G1150" s="77" t="s">
        <v>4428</v>
      </c>
      <c r="H1150" s="77" t="s">
        <v>4427</v>
      </c>
      <c r="I1150" s="77" t="s">
        <v>795</v>
      </c>
      <c r="J1150" s="90">
        <v>100</v>
      </c>
      <c r="K1150" s="91">
        <v>1</v>
      </c>
      <c r="L1150" s="77" t="s">
        <v>6566</v>
      </c>
      <c r="M1150" s="78">
        <v>235.70400000000001</v>
      </c>
      <c r="N1150" s="79">
        <v>9.0944000000000003</v>
      </c>
      <c r="O1150" s="79">
        <v>26.73348</v>
      </c>
      <c r="P1150" s="79">
        <v>3157.2099899999998</v>
      </c>
      <c r="Q1150" s="77"/>
      <c r="R1150" s="77"/>
      <c r="S1150" s="77"/>
      <c r="T1150" s="77"/>
      <c r="U1150" s="77"/>
      <c r="V1150" s="87"/>
      <c r="W1150" s="87"/>
      <c r="X1150" s="87"/>
      <c r="Y1150" s="77"/>
      <c r="Z1150" s="88"/>
      <c r="AA1150" s="35"/>
      <c r="AB1150" s="35"/>
    </row>
    <row r="1151" spans="1:28" x14ac:dyDescent="0.25">
      <c r="A1151" s="68" t="str">
        <f t="shared" si="54"/>
        <v>245937</v>
      </c>
      <c r="B1151" s="10">
        <f t="shared" si="55"/>
        <v>452.88839999999999</v>
      </c>
      <c r="C1151" s="77" t="s">
        <v>5708</v>
      </c>
      <c r="D1151" s="191" t="str">
        <f t="shared" si="53"/>
        <v>V-StrongLumio profil LED Corner 10 alu černý 2000mm (230907)</v>
      </c>
      <c r="E1151" s="77" t="s">
        <v>4429</v>
      </c>
      <c r="F1151" s="77" t="s">
        <v>4430</v>
      </c>
      <c r="G1151" s="77" t="s">
        <v>4432</v>
      </c>
      <c r="H1151" s="77" t="s">
        <v>4431</v>
      </c>
      <c r="I1151" s="77" t="s">
        <v>795</v>
      </c>
      <c r="J1151" s="90">
        <v>100</v>
      </c>
      <c r="K1151" s="91">
        <v>1</v>
      </c>
      <c r="L1151" s="77" t="s">
        <v>6566</v>
      </c>
      <c r="M1151" s="78">
        <v>452.88839999999999</v>
      </c>
      <c r="N1151" s="79">
        <v>17.474240000000002</v>
      </c>
      <c r="O1151" s="79">
        <v>50.657060000000001</v>
      </c>
      <c r="P1151" s="79">
        <v>6082.8099899999997</v>
      </c>
      <c r="Q1151" s="77"/>
      <c r="R1151" s="77"/>
      <c r="S1151" s="77"/>
      <c r="T1151" s="77"/>
      <c r="U1151" s="77"/>
      <c r="V1151" s="87"/>
      <c r="W1151" s="87"/>
      <c r="X1151" s="87"/>
      <c r="Y1151" s="77"/>
      <c r="Z1151" s="88"/>
      <c r="AA1151" s="35"/>
      <c r="AB1151" s="35"/>
    </row>
    <row r="1152" spans="1:28" x14ac:dyDescent="0.25">
      <c r="A1152" s="68" t="str">
        <f t="shared" si="54"/>
        <v>306401</v>
      </c>
      <c r="B1152" s="10">
        <f t="shared" si="55"/>
        <v>724.78980000000001</v>
      </c>
      <c r="C1152" s="77" t="s">
        <v>5709</v>
      </c>
      <c r="D1152" s="191" t="str">
        <f t="shared" si="53"/>
        <v>V-StrongLumio profil LED Corner 10 alu černý 3000mm (285025)</v>
      </c>
      <c r="E1152" s="77" t="s">
        <v>4433</v>
      </c>
      <c r="F1152" s="77" t="s">
        <v>4434</v>
      </c>
      <c r="G1152" s="77" t="s">
        <v>4436</v>
      </c>
      <c r="H1152" s="77" t="s">
        <v>4435</v>
      </c>
      <c r="I1152" s="77" t="s">
        <v>795</v>
      </c>
      <c r="J1152" s="90">
        <v>10</v>
      </c>
      <c r="K1152" s="91">
        <v>1</v>
      </c>
      <c r="L1152" s="77" t="s">
        <v>6566</v>
      </c>
      <c r="M1152" s="78">
        <v>724.78980000000001</v>
      </c>
      <c r="N1152" s="79">
        <v>27.96528</v>
      </c>
      <c r="O1152" s="79">
        <v>92.243759999999995</v>
      </c>
      <c r="P1152" s="79">
        <v>9727.6200000000008</v>
      </c>
      <c r="Q1152" s="77"/>
      <c r="R1152" s="77"/>
      <c r="S1152" s="77"/>
      <c r="T1152" s="77"/>
      <c r="U1152" s="77"/>
      <c r="V1152" s="87"/>
      <c r="W1152" s="87"/>
      <c r="X1152" s="87"/>
      <c r="Y1152" s="77"/>
      <c r="Z1152" s="88"/>
      <c r="AA1152" s="35"/>
      <c r="AB1152" s="35"/>
    </row>
    <row r="1153" spans="1:28" x14ac:dyDescent="0.25">
      <c r="A1153" s="68" t="str">
        <f t="shared" si="54"/>
        <v>385078</v>
      </c>
      <c r="B1153" s="10">
        <f t="shared" si="55"/>
        <v>940.29060000000004</v>
      </c>
      <c r="C1153" s="77" t="s">
        <v>5710</v>
      </c>
      <c r="D1153" s="191" t="str">
        <f t="shared" si="53"/>
        <v>V-StrongLumio profil LED Corner 10 alu černý 4050mm (353539)</v>
      </c>
      <c r="E1153" s="77" t="s">
        <v>4437</v>
      </c>
      <c r="F1153" s="77" t="s">
        <v>4438</v>
      </c>
      <c r="G1153" s="77" t="s">
        <v>4440</v>
      </c>
      <c r="H1153" s="77" t="s">
        <v>4439</v>
      </c>
      <c r="I1153" s="77" t="s">
        <v>795</v>
      </c>
      <c r="J1153" s="90">
        <v>10</v>
      </c>
      <c r="K1153" s="91">
        <v>1</v>
      </c>
      <c r="L1153" s="77" t="s">
        <v>6566</v>
      </c>
      <c r="M1153" s="78">
        <v>940.29060000000004</v>
      </c>
      <c r="N1153" s="79">
        <v>36.280160000000002</v>
      </c>
      <c r="O1153" s="79">
        <v>98.102720000000005</v>
      </c>
      <c r="P1153" s="79">
        <v>12628.83999</v>
      </c>
      <c r="Q1153" s="77"/>
      <c r="R1153" s="77"/>
      <c r="S1153" s="77"/>
      <c r="T1153" s="77"/>
      <c r="U1153" s="77"/>
      <c r="V1153" s="87"/>
      <c r="W1153" s="87"/>
      <c r="X1153" s="87"/>
      <c r="Y1153" s="77"/>
      <c r="Z1153" s="88"/>
      <c r="AA1153" s="35"/>
      <c r="AB1153" s="35"/>
    </row>
    <row r="1154" spans="1:28" x14ac:dyDescent="0.25">
      <c r="A1154" s="68" t="str">
        <f t="shared" si="54"/>
        <v>550328</v>
      </c>
      <c r="B1154" s="10">
        <f t="shared" si="55"/>
        <v>702.06119999999999</v>
      </c>
      <c r="C1154" s="77" t="s">
        <v>5711</v>
      </c>
      <c r="D1154" s="191" t="str">
        <f t="shared" si="53"/>
        <v>V-StrongLumio profil LED Floor 12 alu anodovaný 3000mm (367362)</v>
      </c>
      <c r="E1154" s="77" t="s">
        <v>4441</v>
      </c>
      <c r="F1154" s="77" t="s">
        <v>4442</v>
      </c>
      <c r="G1154" s="77" t="s">
        <v>4444</v>
      </c>
      <c r="H1154" s="77" t="s">
        <v>4443</v>
      </c>
      <c r="I1154" s="77" t="s">
        <v>795</v>
      </c>
      <c r="J1154" s="90">
        <v>40</v>
      </c>
      <c r="K1154" s="91">
        <v>1</v>
      </c>
      <c r="L1154" s="77" t="s">
        <v>6566</v>
      </c>
      <c r="M1154" s="78">
        <v>702.06119999999999</v>
      </c>
      <c r="N1154" s="79">
        <v>27.08832</v>
      </c>
      <c r="O1154" s="79">
        <v>80.565049999999999</v>
      </c>
      <c r="P1154" s="79">
        <v>9788.5700099999995</v>
      </c>
      <c r="Q1154" s="77"/>
      <c r="R1154" s="77"/>
      <c r="S1154" s="77"/>
      <c r="T1154" s="77"/>
      <c r="U1154" s="77"/>
      <c r="V1154" s="87"/>
      <c r="W1154" s="87"/>
      <c r="X1154" s="87"/>
      <c r="Y1154" s="77"/>
      <c r="Z1154" s="88"/>
      <c r="AA1154" s="35"/>
      <c r="AB1154" s="35"/>
    </row>
    <row r="1155" spans="1:28" x14ac:dyDescent="0.25">
      <c r="A1155" s="68" t="str">
        <f t="shared" si="54"/>
        <v>550331</v>
      </c>
      <c r="B1155" s="10">
        <f t="shared" si="55"/>
        <v>489.2688</v>
      </c>
      <c r="C1155" s="77" t="s">
        <v>5712</v>
      </c>
      <c r="D1155" s="191" t="str">
        <f t="shared" ref="D1155:D1218" si="56">IF($B$1=1,E1155,IF($B$1=2,F1155,IF($B$1=3,G1155,IF($B$1=4,H1155))))</f>
        <v>V-StrongLumio profil LED Floor 8 alu anodovaný 3000mm (550330)</v>
      </c>
      <c r="E1155" s="77" t="s">
        <v>4445</v>
      </c>
      <c r="F1155" s="77" t="s">
        <v>4446</v>
      </c>
      <c r="G1155" s="77" t="s">
        <v>4448</v>
      </c>
      <c r="H1155" s="77" t="s">
        <v>4447</v>
      </c>
      <c r="I1155" s="77" t="s">
        <v>795</v>
      </c>
      <c r="J1155" s="90">
        <v>40</v>
      </c>
      <c r="K1155" s="91">
        <v>1</v>
      </c>
      <c r="L1155" s="77" t="s">
        <v>6566</v>
      </c>
      <c r="M1155" s="78">
        <v>489.2688</v>
      </c>
      <c r="N1155" s="79">
        <v>18.80592</v>
      </c>
      <c r="O1155" s="79">
        <v>55.883859999999999</v>
      </c>
      <c r="P1155" s="79">
        <v>6731.8915900000002</v>
      </c>
      <c r="Q1155" s="77"/>
      <c r="R1155" s="77"/>
      <c r="S1155" s="77"/>
      <c r="T1155" s="77"/>
      <c r="U1155" s="77"/>
      <c r="V1155" s="87"/>
      <c r="W1155" s="87"/>
      <c r="X1155" s="87"/>
      <c r="Y1155" s="77"/>
      <c r="Z1155" s="88"/>
      <c r="AA1155" s="35"/>
      <c r="AB1155" s="35"/>
    </row>
    <row r="1156" spans="1:28" x14ac:dyDescent="0.25">
      <c r="A1156" s="68" t="str">
        <f t="shared" si="54"/>
        <v>208161</v>
      </c>
      <c r="B1156" s="10">
        <f t="shared" si="55"/>
        <v>93.439800000000005</v>
      </c>
      <c r="C1156" s="77" t="s">
        <v>5713</v>
      </c>
      <c r="D1156" s="191" t="str">
        <f t="shared" si="56"/>
        <v>V-StrongLumio profil LED Groove 10 alu anodovaný 1000mm (130633)</v>
      </c>
      <c r="E1156" s="77" t="s">
        <v>4449</v>
      </c>
      <c r="F1156" s="77" t="s">
        <v>4450</v>
      </c>
      <c r="G1156" s="77" t="s">
        <v>4452</v>
      </c>
      <c r="H1156" s="77" t="s">
        <v>4451</v>
      </c>
      <c r="I1156" s="77" t="s">
        <v>795</v>
      </c>
      <c r="J1156" s="90">
        <v>100</v>
      </c>
      <c r="K1156" s="91">
        <v>0.5</v>
      </c>
      <c r="L1156" s="77" t="s">
        <v>6566</v>
      </c>
      <c r="M1156" s="78">
        <v>93.439800000000005</v>
      </c>
      <c r="N1156" s="79">
        <v>3.60528</v>
      </c>
      <c r="O1156" s="79">
        <v>9.7128399999999999</v>
      </c>
      <c r="P1156" s="79">
        <v>1243.3800000000001</v>
      </c>
      <c r="Q1156" s="77"/>
      <c r="R1156" s="77"/>
      <c r="S1156" s="77"/>
      <c r="T1156" s="77"/>
      <c r="U1156" s="77"/>
      <c r="V1156" s="87"/>
      <c r="W1156" s="87"/>
      <c r="X1156" s="87"/>
      <c r="Y1156" s="77"/>
      <c r="Z1156" s="88"/>
      <c r="AA1156" s="35"/>
      <c r="AB1156" s="35"/>
    </row>
    <row r="1157" spans="1:28" x14ac:dyDescent="0.25">
      <c r="A1157" s="68" t="str">
        <f t="shared" si="54"/>
        <v>208162</v>
      </c>
      <c r="B1157" s="10">
        <f t="shared" si="55"/>
        <v>242.4384</v>
      </c>
      <c r="C1157" s="77" t="s">
        <v>5714</v>
      </c>
      <c r="D1157" s="191" t="str">
        <f t="shared" si="56"/>
        <v>V-StrongLumio profil LED Groove 10 alu anodovaný 2000mm (130634)</v>
      </c>
      <c r="E1157" s="77" t="s">
        <v>4453</v>
      </c>
      <c r="F1157" s="77" t="s">
        <v>4454</v>
      </c>
      <c r="G1157" s="77" t="s">
        <v>4456</v>
      </c>
      <c r="H1157" s="77" t="s">
        <v>4455</v>
      </c>
      <c r="I1157" s="77" t="s">
        <v>795</v>
      </c>
      <c r="J1157" s="90">
        <v>100</v>
      </c>
      <c r="K1157" s="91">
        <v>1</v>
      </c>
      <c r="L1157" s="77" t="s">
        <v>6566</v>
      </c>
      <c r="M1157" s="78">
        <v>242.4384</v>
      </c>
      <c r="N1157" s="79">
        <v>9.3542400000000008</v>
      </c>
      <c r="O1157" s="79">
        <v>27.652740000000001</v>
      </c>
      <c r="P1157" s="79">
        <v>3254.73</v>
      </c>
      <c r="Q1157" s="77"/>
      <c r="R1157" s="77"/>
      <c r="S1157" s="77"/>
      <c r="T1157" s="77"/>
      <c r="U1157" s="77"/>
      <c r="V1157" s="87"/>
      <c r="W1157" s="87"/>
      <c r="X1157" s="87"/>
      <c r="Y1157" s="77"/>
      <c r="Z1157" s="88"/>
      <c r="AA1157" s="35"/>
      <c r="AB1157" s="35"/>
    </row>
    <row r="1158" spans="1:28" x14ac:dyDescent="0.25">
      <c r="A1158" s="68" t="str">
        <f t="shared" si="54"/>
        <v>245938</v>
      </c>
      <c r="B1158" s="10">
        <f t="shared" si="55"/>
        <v>383.01900000000001</v>
      </c>
      <c r="C1158" s="77" t="s">
        <v>5715</v>
      </c>
      <c r="D1158" s="191" t="str">
        <f t="shared" si="56"/>
        <v>V-StrongLumio profil LED Groove 10 alu anodovaný 3000mm (233553)</v>
      </c>
      <c r="E1158" s="77" t="s">
        <v>4457</v>
      </c>
      <c r="F1158" s="77" t="s">
        <v>4458</v>
      </c>
      <c r="G1158" s="77" t="s">
        <v>4458</v>
      </c>
      <c r="H1158" s="77" t="s">
        <v>4459</v>
      </c>
      <c r="I1158" s="77" t="s">
        <v>795</v>
      </c>
      <c r="J1158" s="90">
        <v>100</v>
      </c>
      <c r="K1158" s="91">
        <v>0.5</v>
      </c>
      <c r="L1158" s="77" t="s">
        <v>6566</v>
      </c>
      <c r="M1158" s="78">
        <v>383.01900000000001</v>
      </c>
      <c r="N1158" s="79">
        <v>14.7784</v>
      </c>
      <c r="O1158" s="79">
        <v>44.644869999999997</v>
      </c>
      <c r="P1158" s="79">
        <v>5144.18001</v>
      </c>
      <c r="Q1158" s="77"/>
      <c r="R1158" s="77"/>
      <c r="S1158" s="77"/>
      <c r="T1158" s="77"/>
      <c r="U1158" s="77"/>
      <c r="V1158" s="87"/>
      <c r="W1158" s="87"/>
      <c r="X1158" s="87"/>
      <c r="Y1158" s="77"/>
      <c r="Z1158" s="88"/>
      <c r="AA1158" s="35"/>
      <c r="AB1158" s="35"/>
    </row>
    <row r="1159" spans="1:28" x14ac:dyDescent="0.25">
      <c r="A1159" s="68" t="str">
        <f t="shared" si="54"/>
        <v>306352</v>
      </c>
      <c r="B1159" s="10">
        <f t="shared" si="55"/>
        <v>487.40219999999999</v>
      </c>
      <c r="C1159" s="77" t="s">
        <v>5716</v>
      </c>
      <c r="D1159" s="191" t="str">
        <f t="shared" si="56"/>
        <v>V-StrongLumio profil LED Groove 10 alu anodovaný 4050mm (269800)</v>
      </c>
      <c r="E1159" s="77" t="s">
        <v>4460</v>
      </c>
      <c r="F1159" s="77" t="s">
        <v>4461</v>
      </c>
      <c r="G1159" s="77" t="s">
        <v>4463</v>
      </c>
      <c r="H1159" s="77" t="s">
        <v>4462</v>
      </c>
      <c r="I1159" s="77" t="s">
        <v>795</v>
      </c>
      <c r="J1159" s="90">
        <v>100</v>
      </c>
      <c r="K1159" s="91">
        <v>1</v>
      </c>
      <c r="L1159" s="77" t="s">
        <v>6566</v>
      </c>
      <c r="M1159" s="78">
        <v>487.40219999999999</v>
      </c>
      <c r="N1159" s="79">
        <v>18.80592</v>
      </c>
      <c r="O1159" s="79">
        <v>56.140619999999998</v>
      </c>
      <c r="P1159" s="79">
        <v>6546.03</v>
      </c>
      <c r="Q1159" s="77"/>
      <c r="R1159" s="77"/>
      <c r="S1159" s="77"/>
      <c r="T1159" s="77"/>
      <c r="U1159" s="77"/>
      <c r="V1159" s="87"/>
      <c r="W1159" s="87"/>
      <c r="X1159" s="87"/>
      <c r="Y1159" s="77"/>
      <c r="Z1159" s="88"/>
      <c r="AA1159" s="35"/>
      <c r="AB1159" s="35"/>
    </row>
    <row r="1160" spans="1:28" x14ac:dyDescent="0.25">
      <c r="A1160" s="68" t="str">
        <f t="shared" si="54"/>
        <v>385075</v>
      </c>
      <c r="B1160" s="10">
        <f t="shared" si="55"/>
        <v>154.8912</v>
      </c>
      <c r="C1160" s="77" t="s">
        <v>5717</v>
      </c>
      <c r="D1160" s="191" t="str">
        <f t="shared" si="56"/>
        <v>V-StrongLumio profil LED Groove 10 alu bílý 1000mm (231269)</v>
      </c>
      <c r="E1160" s="77" t="s">
        <v>4464</v>
      </c>
      <c r="F1160" s="77" t="s">
        <v>4465</v>
      </c>
      <c r="G1160" s="77" t="s">
        <v>4467</v>
      </c>
      <c r="H1160" s="77" t="s">
        <v>4466</v>
      </c>
      <c r="I1160" s="77" t="s">
        <v>795</v>
      </c>
      <c r="J1160" s="90">
        <v>100</v>
      </c>
      <c r="K1160" s="91">
        <v>1</v>
      </c>
      <c r="L1160" s="77" t="s">
        <v>6566</v>
      </c>
      <c r="M1160" s="78">
        <v>154.8912</v>
      </c>
      <c r="N1160" s="79">
        <v>5.9763200000000003</v>
      </c>
      <c r="O1160" s="79">
        <v>21.76249</v>
      </c>
      <c r="P1160" s="79">
        <v>2157.63</v>
      </c>
      <c r="Q1160" s="77"/>
      <c r="R1160" s="77"/>
      <c r="S1160" s="77"/>
      <c r="T1160" s="77"/>
      <c r="U1160" s="77"/>
      <c r="V1160" s="87"/>
      <c r="W1160" s="87"/>
      <c r="X1160" s="87"/>
      <c r="Y1160" s="77"/>
      <c r="Z1160" s="88"/>
      <c r="AA1160" s="35"/>
      <c r="AB1160" s="35"/>
    </row>
    <row r="1161" spans="1:28" x14ac:dyDescent="0.25">
      <c r="A1161" s="68" t="str">
        <f t="shared" si="54"/>
        <v>245939</v>
      </c>
      <c r="B1161" s="10">
        <f t="shared" si="55"/>
        <v>375.44279999999998</v>
      </c>
      <c r="C1161" s="77" t="s">
        <v>5718</v>
      </c>
      <c r="D1161" s="191" t="str">
        <f t="shared" si="56"/>
        <v>V-StrongLumio profil LED Groove 10 alu bílý 2000mm (230906)</v>
      </c>
      <c r="E1161" s="77" t="s">
        <v>4468</v>
      </c>
      <c r="F1161" s="77" t="s">
        <v>4469</v>
      </c>
      <c r="G1161" s="77" t="s">
        <v>4471</v>
      </c>
      <c r="H1161" s="77" t="s">
        <v>4470</v>
      </c>
      <c r="I1161" s="77" t="s">
        <v>795</v>
      </c>
      <c r="J1161" s="90">
        <v>100</v>
      </c>
      <c r="K1161" s="91">
        <v>1</v>
      </c>
      <c r="L1161" s="77" t="s">
        <v>6566</v>
      </c>
      <c r="M1161" s="78">
        <v>375.44279999999998</v>
      </c>
      <c r="N1161" s="79">
        <v>14.486079999999999</v>
      </c>
      <c r="O1161" s="79">
        <v>42.019489999999998</v>
      </c>
      <c r="P1161" s="79">
        <v>5034.47001</v>
      </c>
      <c r="Q1161" s="77"/>
      <c r="R1161" s="77"/>
      <c r="S1161" s="77"/>
      <c r="T1161" s="77"/>
      <c r="U1161" s="77"/>
      <c r="V1161" s="87"/>
      <c r="W1161" s="87"/>
      <c r="X1161" s="87"/>
      <c r="Y1161" s="77"/>
      <c r="Z1161" s="88"/>
      <c r="AA1161" s="35"/>
      <c r="AB1161" s="35"/>
    </row>
    <row r="1162" spans="1:28" x14ac:dyDescent="0.25">
      <c r="A1162" s="68" t="str">
        <f t="shared" ref="A1162:A1225" si="57">C1162</f>
        <v>306364</v>
      </c>
      <c r="B1162" s="10">
        <f t="shared" si="55"/>
        <v>594.31079999999997</v>
      </c>
      <c r="C1162" s="77" t="s">
        <v>5719</v>
      </c>
      <c r="D1162" s="191" t="str">
        <f t="shared" si="56"/>
        <v>V-StrongLumio profil LED Groove 10 alu bílý 3000mm (285024)</v>
      </c>
      <c r="E1162" s="77" t="s">
        <v>4472</v>
      </c>
      <c r="F1162" s="77" t="s">
        <v>4473</v>
      </c>
      <c r="G1162" s="77" t="s">
        <v>4475</v>
      </c>
      <c r="H1162" s="77" t="s">
        <v>4474</v>
      </c>
      <c r="I1162" s="77" t="s">
        <v>795</v>
      </c>
      <c r="J1162" s="90">
        <v>10</v>
      </c>
      <c r="K1162" s="91">
        <v>1</v>
      </c>
      <c r="L1162" s="77" t="s">
        <v>6566</v>
      </c>
      <c r="M1162" s="78">
        <v>594.31079999999997</v>
      </c>
      <c r="N1162" s="79">
        <v>22.930879999999998</v>
      </c>
      <c r="O1162" s="79">
        <v>63.269869999999997</v>
      </c>
      <c r="P1162" s="79">
        <v>7984.4499900000001</v>
      </c>
      <c r="Q1162" s="77"/>
      <c r="R1162" s="77"/>
      <c r="S1162" s="77"/>
      <c r="T1162" s="77"/>
      <c r="U1162" s="77"/>
      <c r="V1162" s="87"/>
      <c r="W1162" s="87"/>
      <c r="X1162" s="87"/>
      <c r="Y1162" s="77"/>
      <c r="Z1162" s="88"/>
    </row>
    <row r="1163" spans="1:28" x14ac:dyDescent="0.25">
      <c r="A1163" s="68" t="str">
        <f t="shared" si="57"/>
        <v>385089</v>
      </c>
      <c r="B1163" s="10">
        <f t="shared" si="55"/>
        <v>787.9248</v>
      </c>
      <c r="C1163" s="77" t="s">
        <v>5720</v>
      </c>
      <c r="D1163" s="191" t="str">
        <f t="shared" si="56"/>
        <v>V-StrongLumio profil LED Groove 10 alu bílý 4050mm (353542)</v>
      </c>
      <c r="E1163" s="77" t="s">
        <v>4476</v>
      </c>
      <c r="F1163" s="77" t="s">
        <v>4477</v>
      </c>
      <c r="G1163" s="77" t="s">
        <v>4479</v>
      </c>
      <c r="H1163" s="77" t="s">
        <v>4478</v>
      </c>
      <c r="I1163" s="77" t="s">
        <v>795</v>
      </c>
      <c r="J1163" s="90">
        <v>10</v>
      </c>
      <c r="K1163" s="91">
        <v>1</v>
      </c>
      <c r="L1163" s="77" t="s">
        <v>6566</v>
      </c>
      <c r="M1163" s="78">
        <v>787.9248</v>
      </c>
      <c r="N1163" s="79">
        <v>30.40128</v>
      </c>
      <c r="O1163" s="79">
        <v>83.904219999999995</v>
      </c>
      <c r="P1163" s="79">
        <v>10580.91999</v>
      </c>
      <c r="Q1163" s="77"/>
      <c r="R1163" s="77"/>
      <c r="S1163" s="77"/>
      <c r="T1163" s="77"/>
      <c r="U1163" s="77"/>
      <c r="V1163" s="87"/>
      <c r="W1163" s="87"/>
      <c r="X1163" s="87"/>
      <c r="Y1163" s="77"/>
      <c r="Z1163" s="88"/>
    </row>
    <row r="1164" spans="1:28" x14ac:dyDescent="0.25">
      <c r="A1164" s="68" t="str">
        <f t="shared" si="57"/>
        <v>385072</v>
      </c>
      <c r="B1164" s="10">
        <f t="shared" si="55"/>
        <v>128.7954</v>
      </c>
      <c r="C1164" s="77" t="s">
        <v>5721</v>
      </c>
      <c r="D1164" s="191" t="str">
        <f t="shared" si="56"/>
        <v>V-StrongLumio profil LED Groove 10 alu černý 1000mm (231268)</v>
      </c>
      <c r="E1164" s="77" t="s">
        <v>4480</v>
      </c>
      <c r="F1164" s="77" t="s">
        <v>4481</v>
      </c>
      <c r="G1164" s="77" t="s">
        <v>4483</v>
      </c>
      <c r="H1164" s="77" t="s">
        <v>4482</v>
      </c>
      <c r="I1164" s="77" t="s">
        <v>795</v>
      </c>
      <c r="J1164" s="90">
        <v>100</v>
      </c>
      <c r="K1164" s="91">
        <v>1</v>
      </c>
      <c r="L1164" s="77" t="s">
        <v>6566</v>
      </c>
      <c r="M1164" s="78">
        <v>128.7954</v>
      </c>
      <c r="N1164" s="79">
        <v>4.9728000000000003</v>
      </c>
      <c r="O1164" s="79">
        <v>19.228629999999999</v>
      </c>
      <c r="P1164" s="79">
        <v>1804.1199899999999</v>
      </c>
      <c r="Q1164" s="77"/>
      <c r="R1164" s="77"/>
      <c r="S1164" s="77"/>
      <c r="T1164" s="77"/>
      <c r="U1164" s="77"/>
      <c r="V1164" s="87"/>
      <c r="W1164" s="87"/>
      <c r="X1164" s="87"/>
      <c r="Y1164" s="77"/>
      <c r="Z1164" s="88"/>
    </row>
    <row r="1165" spans="1:28" x14ac:dyDescent="0.25">
      <c r="A1165" s="68" t="str">
        <f t="shared" si="57"/>
        <v>245940</v>
      </c>
      <c r="B1165" s="10">
        <f t="shared" si="55"/>
        <v>361.13220000000001</v>
      </c>
      <c r="C1165" s="77" t="s">
        <v>5722</v>
      </c>
      <c r="D1165" s="191" t="str">
        <f t="shared" si="56"/>
        <v>V-StrongLumio profil LED Groove 10 alu černý 2000mm (230905)</v>
      </c>
      <c r="E1165" s="77" t="s">
        <v>4484</v>
      </c>
      <c r="F1165" s="77" t="s">
        <v>4485</v>
      </c>
      <c r="G1165" s="77" t="s">
        <v>4487</v>
      </c>
      <c r="H1165" s="77" t="s">
        <v>4486</v>
      </c>
      <c r="I1165" s="77" t="s">
        <v>795</v>
      </c>
      <c r="J1165" s="90">
        <v>100</v>
      </c>
      <c r="K1165" s="91">
        <v>0.5</v>
      </c>
      <c r="L1165" s="77" t="s">
        <v>6566</v>
      </c>
      <c r="M1165" s="78">
        <v>361.13220000000001</v>
      </c>
      <c r="N1165" s="79">
        <v>13.933920000000001</v>
      </c>
      <c r="O1165" s="79">
        <v>41.317399999999999</v>
      </c>
      <c r="P1165" s="79">
        <v>4851.6200099999996</v>
      </c>
      <c r="Q1165" s="77"/>
      <c r="R1165" s="77"/>
      <c r="S1165" s="77"/>
      <c r="T1165" s="77"/>
      <c r="U1165" s="77"/>
      <c r="V1165" s="87"/>
      <c r="W1165" s="87"/>
      <c r="X1165" s="87"/>
      <c r="Y1165" s="77"/>
      <c r="Z1165" s="88"/>
    </row>
    <row r="1166" spans="1:28" x14ac:dyDescent="0.25">
      <c r="A1166" s="68" t="str">
        <f t="shared" si="57"/>
        <v>306363</v>
      </c>
      <c r="B1166" s="10">
        <f t="shared" si="55"/>
        <v>577.47479999999996</v>
      </c>
      <c r="C1166" s="77" t="s">
        <v>5723</v>
      </c>
      <c r="D1166" s="191" t="str">
        <f t="shared" si="56"/>
        <v>V-StrongLumio profil LED Groove 10 alu černý 3000mm (277173)</v>
      </c>
      <c r="E1166" s="77" t="s">
        <v>4488</v>
      </c>
      <c r="F1166" s="77" t="s">
        <v>4489</v>
      </c>
      <c r="G1166" s="77" t="s">
        <v>4491</v>
      </c>
      <c r="H1166" s="77" t="s">
        <v>4490</v>
      </c>
      <c r="I1166" s="77" t="s">
        <v>795</v>
      </c>
      <c r="J1166" s="90">
        <v>100</v>
      </c>
      <c r="K1166" s="91">
        <v>1</v>
      </c>
      <c r="L1166" s="77" t="s">
        <v>6566</v>
      </c>
      <c r="M1166" s="78">
        <v>577.47479999999996</v>
      </c>
      <c r="N1166" s="79">
        <v>22.281279999999999</v>
      </c>
      <c r="O1166" s="79">
        <v>69.155330000000006</v>
      </c>
      <c r="P1166" s="79">
        <v>7765.02999</v>
      </c>
      <c r="Q1166" s="77"/>
      <c r="R1166" s="77"/>
      <c r="S1166" s="77"/>
      <c r="T1166" s="77"/>
      <c r="U1166" s="77"/>
      <c r="V1166" s="87"/>
      <c r="W1166" s="87"/>
      <c r="X1166" s="87"/>
      <c r="Y1166" s="77"/>
      <c r="Z1166" s="88"/>
    </row>
    <row r="1167" spans="1:28" x14ac:dyDescent="0.25">
      <c r="A1167" s="68" t="str">
        <f t="shared" si="57"/>
        <v>385074</v>
      </c>
      <c r="B1167" s="10">
        <f t="shared" si="55"/>
        <v>761.82899999999995</v>
      </c>
      <c r="C1167" s="77" t="s">
        <v>5724</v>
      </c>
      <c r="D1167" s="191" t="str">
        <f t="shared" si="56"/>
        <v>V-StrongLumio profil LED Groove 10 alu černý 4050mm (353543)</v>
      </c>
      <c r="E1167" s="77" t="s">
        <v>4492</v>
      </c>
      <c r="F1167" s="77" t="s">
        <v>4493</v>
      </c>
      <c r="G1167" s="77" t="s">
        <v>4495</v>
      </c>
      <c r="H1167" s="77" t="s">
        <v>4494</v>
      </c>
      <c r="I1167" s="77" t="s">
        <v>795</v>
      </c>
      <c r="J1167" s="90">
        <v>10</v>
      </c>
      <c r="K1167" s="91">
        <v>0.5</v>
      </c>
      <c r="L1167" s="77" t="s">
        <v>6566</v>
      </c>
      <c r="M1167" s="78">
        <v>761.82899999999995</v>
      </c>
      <c r="N1167" s="79">
        <v>29.394400000000001</v>
      </c>
      <c r="O1167" s="79">
        <v>87.787710000000004</v>
      </c>
      <c r="P1167" s="79">
        <v>10239.6</v>
      </c>
      <c r="Q1167" s="77"/>
      <c r="R1167" s="77"/>
      <c r="S1167" s="77"/>
      <c r="T1167" s="77"/>
      <c r="U1167" s="77"/>
      <c r="V1167" s="87"/>
      <c r="W1167" s="87"/>
      <c r="X1167" s="87"/>
      <c r="Y1167" s="77"/>
      <c r="Z1167" s="88"/>
    </row>
    <row r="1168" spans="1:28" x14ac:dyDescent="0.25">
      <c r="A1168" s="68" t="str">
        <f t="shared" si="57"/>
        <v>221114</v>
      </c>
      <c r="B1168" s="10">
        <f t="shared" si="55"/>
        <v>212.1336</v>
      </c>
      <c r="C1168" s="77" t="s">
        <v>5725</v>
      </c>
      <c r="D1168" s="191" t="str">
        <f t="shared" si="56"/>
        <v>V-StrongLumio profil LED Slim alu anodovaný 2000mm (215826)</v>
      </c>
      <c r="E1168" s="77" t="s">
        <v>4496</v>
      </c>
      <c r="F1168" s="77" t="s">
        <v>4497</v>
      </c>
      <c r="G1168" s="77" t="s">
        <v>4499</v>
      </c>
      <c r="H1168" s="77" t="s">
        <v>4498</v>
      </c>
      <c r="I1168" s="77" t="s">
        <v>795</v>
      </c>
      <c r="J1168" s="90">
        <v>100</v>
      </c>
      <c r="K1168" s="91">
        <v>1</v>
      </c>
      <c r="L1168" s="77" t="s">
        <v>6566</v>
      </c>
      <c r="M1168" s="78">
        <v>212.1336</v>
      </c>
      <c r="N1168" s="79">
        <v>8.1849600000000002</v>
      </c>
      <c r="O1168" s="79">
        <v>22.694990000000001</v>
      </c>
      <c r="P1168" s="79">
        <v>2852.46</v>
      </c>
      <c r="Q1168" s="77"/>
      <c r="R1168" s="77"/>
      <c r="S1168" s="77"/>
      <c r="T1168" s="77"/>
      <c r="U1168" s="77"/>
      <c r="V1168" s="87"/>
      <c r="W1168" s="87"/>
      <c r="X1168" s="87"/>
      <c r="Y1168" s="77"/>
      <c r="Z1168" s="88"/>
    </row>
    <row r="1169" spans="1:26" x14ac:dyDescent="0.25">
      <c r="A1169" s="68" t="str">
        <f t="shared" si="57"/>
        <v>385071</v>
      </c>
      <c r="B1169" s="10">
        <f t="shared" si="55"/>
        <v>271.90140000000002</v>
      </c>
      <c r="C1169" s="77" t="s">
        <v>5726</v>
      </c>
      <c r="D1169" s="191" t="str">
        <f t="shared" si="56"/>
        <v>V-StrongLumio profil LED Slim alu černá 2000mm</v>
      </c>
      <c r="E1169" s="77" t="s">
        <v>4500</v>
      </c>
      <c r="F1169" s="77" t="s">
        <v>4501</v>
      </c>
      <c r="G1169" s="77" t="s">
        <v>4503</v>
      </c>
      <c r="H1169" s="77" t="s">
        <v>4502</v>
      </c>
      <c r="I1169" s="77" t="s">
        <v>795</v>
      </c>
      <c r="J1169" s="90">
        <v>10</v>
      </c>
      <c r="K1169" s="91">
        <v>1</v>
      </c>
      <c r="L1169" s="77" t="s">
        <v>6566</v>
      </c>
      <c r="M1169" s="78">
        <v>271.90140000000002</v>
      </c>
      <c r="N1169" s="79">
        <v>10.49104</v>
      </c>
      <c r="O1169" s="79">
        <v>30.842970000000001</v>
      </c>
      <c r="P1169" s="79">
        <v>3657</v>
      </c>
      <c r="Q1169" s="77"/>
      <c r="R1169" s="77"/>
      <c r="S1169" s="77"/>
      <c r="T1169" s="77"/>
      <c r="U1169" s="77"/>
      <c r="V1169" s="87"/>
      <c r="W1169" s="87"/>
      <c r="X1169" s="87"/>
      <c r="Y1169" s="77"/>
      <c r="Z1169" s="88"/>
    </row>
    <row r="1170" spans="1:26" x14ac:dyDescent="0.25">
      <c r="A1170" s="68" t="str">
        <f t="shared" si="57"/>
        <v>308431</v>
      </c>
      <c r="B1170" s="10">
        <f t="shared" si="55"/>
        <v>243.43199999999999</v>
      </c>
      <c r="C1170" s="77" t="s">
        <v>5727</v>
      </c>
      <c r="D1170" s="191" t="str">
        <f t="shared" si="56"/>
        <v>V-StrongLumio profil LED Smart alu anodovaný 2000mm (285048)</v>
      </c>
      <c r="E1170" s="77" t="s">
        <v>4504</v>
      </c>
      <c r="F1170" s="77" t="s">
        <v>4505</v>
      </c>
      <c r="G1170" s="77" t="s">
        <v>4507</v>
      </c>
      <c r="H1170" s="77" t="s">
        <v>4506</v>
      </c>
      <c r="I1170" s="77" t="s">
        <v>795</v>
      </c>
      <c r="J1170" s="90">
        <v>10</v>
      </c>
      <c r="K1170" s="91">
        <v>1</v>
      </c>
      <c r="L1170" s="77" t="s">
        <v>160</v>
      </c>
      <c r="M1170" s="78">
        <v>243.43199999999999</v>
      </c>
      <c r="N1170" s="79">
        <v>9.4079999999999995</v>
      </c>
      <c r="O1170" s="79">
        <v>23.885169999999999</v>
      </c>
      <c r="P1170" s="79">
        <v>3413.1999900000001</v>
      </c>
      <c r="Q1170" s="77"/>
      <c r="R1170" s="77"/>
      <c r="S1170" s="77"/>
      <c r="T1170" s="77"/>
      <c r="U1170" s="77"/>
      <c r="V1170" s="87"/>
      <c r="W1170" s="87"/>
      <c r="X1170" s="87"/>
      <c r="Y1170" s="77"/>
      <c r="Z1170" s="88"/>
    </row>
    <row r="1171" spans="1:26" x14ac:dyDescent="0.25">
      <c r="A1171" s="68" t="str">
        <f t="shared" si="57"/>
        <v>310730</v>
      </c>
      <c r="B1171" s="10">
        <f t="shared" si="55"/>
        <v>326.89440000000002</v>
      </c>
      <c r="C1171" s="77" t="s">
        <v>5728</v>
      </c>
      <c r="D1171" s="191" t="str">
        <f t="shared" si="56"/>
        <v>V-StrongLumio profil LED Smart alu černá 2000mm (285050)</v>
      </c>
      <c r="E1171" s="77" t="s">
        <v>4508</v>
      </c>
      <c r="F1171" s="77" t="s">
        <v>4509</v>
      </c>
      <c r="G1171" s="77" t="s">
        <v>4511</v>
      </c>
      <c r="H1171" s="77" t="s">
        <v>4510</v>
      </c>
      <c r="I1171" s="77" t="s">
        <v>795</v>
      </c>
      <c r="J1171" s="90">
        <v>10</v>
      </c>
      <c r="K1171" s="91">
        <v>1</v>
      </c>
      <c r="L1171" s="77" t="s">
        <v>160</v>
      </c>
      <c r="M1171" s="78">
        <v>326.89440000000002</v>
      </c>
      <c r="N1171" s="79">
        <v>12.633599999999999</v>
      </c>
      <c r="O1171" s="79">
        <v>38.297849999999997</v>
      </c>
      <c r="P1171" s="79">
        <v>4583.4399899999999</v>
      </c>
      <c r="Q1171" s="77"/>
      <c r="R1171" s="77"/>
      <c r="S1171" s="77"/>
      <c r="T1171" s="77"/>
      <c r="U1171" s="77"/>
      <c r="V1171" s="87"/>
      <c r="W1171" s="87"/>
      <c r="X1171" s="87"/>
      <c r="Y1171" s="77"/>
      <c r="Z1171" s="88"/>
    </row>
    <row r="1172" spans="1:26" x14ac:dyDescent="0.25">
      <c r="A1172" s="68" t="str">
        <f t="shared" si="57"/>
        <v>528526</v>
      </c>
      <c r="B1172" s="10">
        <f t="shared" si="55"/>
        <v>271.90140000000002</v>
      </c>
      <c r="C1172" s="77" t="s">
        <v>5729</v>
      </c>
      <c r="D1172" s="191" t="str">
        <f t="shared" si="56"/>
        <v>V-StrongLumio profil LED Smart-In 10 alu anodovaný 2000mm</v>
      </c>
      <c r="E1172" s="77" t="s">
        <v>4512</v>
      </c>
      <c r="F1172" s="77" t="s">
        <v>4513</v>
      </c>
      <c r="G1172" s="77" t="s">
        <v>4515</v>
      </c>
      <c r="H1172" s="77" t="s">
        <v>4514</v>
      </c>
      <c r="I1172" s="77" t="s">
        <v>795</v>
      </c>
      <c r="J1172" s="90">
        <v>40</v>
      </c>
      <c r="K1172" s="91">
        <v>1</v>
      </c>
      <c r="L1172" s="77" t="s">
        <v>6566</v>
      </c>
      <c r="M1172" s="78">
        <v>271.90140000000002</v>
      </c>
      <c r="N1172" s="79">
        <v>10.49104</v>
      </c>
      <c r="O1172" s="79">
        <v>28.364850000000001</v>
      </c>
      <c r="P1172" s="79">
        <v>3644.8100100000001</v>
      </c>
      <c r="Q1172" s="77"/>
      <c r="R1172" s="77"/>
      <c r="S1172" s="77"/>
      <c r="T1172" s="77"/>
      <c r="U1172" s="77"/>
      <c r="V1172" s="87"/>
      <c r="W1172" s="87"/>
      <c r="X1172" s="87"/>
      <c r="Y1172" s="77"/>
      <c r="Z1172" s="88"/>
    </row>
    <row r="1173" spans="1:26" x14ac:dyDescent="0.25">
      <c r="A1173" s="68" t="str">
        <f t="shared" si="57"/>
        <v>208163</v>
      </c>
      <c r="B1173" s="10">
        <f t="shared" si="55"/>
        <v>127.1118</v>
      </c>
      <c r="C1173" s="77" t="s">
        <v>5730</v>
      </c>
      <c r="D1173" s="191" t="str">
        <f t="shared" si="56"/>
        <v>V-StrongLumio profil LED Surface 10 alu anodovaný 1000mm (130588)</v>
      </c>
      <c r="E1173" s="77" t="s">
        <v>4516</v>
      </c>
      <c r="F1173" s="77" t="s">
        <v>4517</v>
      </c>
      <c r="G1173" s="77" t="s">
        <v>4519</v>
      </c>
      <c r="H1173" s="77" t="s">
        <v>4518</v>
      </c>
      <c r="I1173" s="77" t="s">
        <v>795</v>
      </c>
      <c r="J1173" s="90">
        <v>100</v>
      </c>
      <c r="K1173" s="91">
        <v>0.5</v>
      </c>
      <c r="L1173" s="77" t="s">
        <v>6566</v>
      </c>
      <c r="M1173" s="78">
        <v>127.1118</v>
      </c>
      <c r="N1173" s="79">
        <v>4.9044800000000004</v>
      </c>
      <c r="O1173" s="79">
        <v>14.35228</v>
      </c>
      <c r="P1173" s="79">
        <v>1706.6000100000001</v>
      </c>
      <c r="Q1173" s="77"/>
      <c r="R1173" s="77"/>
      <c r="S1173" s="77"/>
      <c r="T1173" s="77"/>
      <c r="U1173" s="77"/>
      <c r="V1173" s="87"/>
      <c r="W1173" s="87"/>
      <c r="X1173" s="87"/>
      <c r="Y1173" s="77"/>
      <c r="Z1173" s="88"/>
    </row>
    <row r="1174" spans="1:26" x14ac:dyDescent="0.25">
      <c r="A1174" s="68" t="str">
        <f t="shared" si="57"/>
        <v>208164</v>
      </c>
      <c r="B1174" s="10">
        <f t="shared" si="55"/>
        <v>255.90719999999999</v>
      </c>
      <c r="C1174" s="77" t="s">
        <v>5731</v>
      </c>
      <c r="D1174" s="191" t="str">
        <f t="shared" si="56"/>
        <v>V-StrongLumio profil LED Surface 10 alu anodovaný 2000mm (130589)</v>
      </c>
      <c r="E1174" s="77" t="s">
        <v>4520</v>
      </c>
      <c r="F1174" s="77" t="s">
        <v>4521</v>
      </c>
      <c r="G1174" s="77" t="s">
        <v>4523</v>
      </c>
      <c r="H1174" s="77" t="s">
        <v>4522</v>
      </c>
      <c r="I1174" s="77" t="s">
        <v>795</v>
      </c>
      <c r="J1174" s="90">
        <v>100</v>
      </c>
      <c r="K1174" s="91">
        <v>1</v>
      </c>
      <c r="L1174" s="77" t="s">
        <v>6566</v>
      </c>
      <c r="M1174" s="78">
        <v>255.90719999999999</v>
      </c>
      <c r="N1174" s="79">
        <v>9.87392</v>
      </c>
      <c r="O1174" s="79">
        <v>28.898389999999999</v>
      </c>
      <c r="P1174" s="79">
        <v>3437.58</v>
      </c>
      <c r="Q1174" s="77"/>
      <c r="R1174" s="77"/>
      <c r="S1174" s="77"/>
      <c r="T1174" s="77"/>
      <c r="U1174" s="77"/>
      <c r="V1174" s="87"/>
      <c r="W1174" s="87"/>
      <c r="X1174" s="87"/>
      <c r="Y1174" s="77"/>
      <c r="Z1174" s="88"/>
    </row>
    <row r="1175" spans="1:26" x14ac:dyDescent="0.25">
      <c r="A1175" s="68" t="str">
        <f t="shared" si="57"/>
        <v>245945</v>
      </c>
      <c r="B1175" s="10">
        <f t="shared" si="55"/>
        <v>393.9624</v>
      </c>
      <c r="C1175" s="77" t="s">
        <v>5732</v>
      </c>
      <c r="D1175" s="191" t="str">
        <f t="shared" si="56"/>
        <v>V-StrongLumio profil LED Surface 10 alu anodovaný 3000mm (244328)</v>
      </c>
      <c r="E1175" s="77" t="s">
        <v>4524</v>
      </c>
      <c r="F1175" s="77" t="s">
        <v>4525</v>
      </c>
      <c r="G1175" s="77" t="s">
        <v>4525</v>
      </c>
      <c r="H1175" s="77" t="s">
        <v>4526</v>
      </c>
      <c r="I1175" s="77" t="s">
        <v>795</v>
      </c>
      <c r="J1175" s="90">
        <v>100</v>
      </c>
      <c r="K1175" s="91">
        <v>0.5</v>
      </c>
      <c r="L1175" s="77" t="s">
        <v>6566</v>
      </c>
      <c r="M1175" s="78">
        <v>393.9624</v>
      </c>
      <c r="N1175" s="79">
        <v>15.20064</v>
      </c>
      <c r="O1175" s="79">
        <v>45.848210000000002</v>
      </c>
      <c r="P1175" s="79">
        <v>5290.4600099999998</v>
      </c>
      <c r="Q1175" s="77"/>
      <c r="R1175" s="77"/>
      <c r="S1175" s="77"/>
      <c r="T1175" s="77"/>
      <c r="U1175" s="77"/>
      <c r="V1175" s="87"/>
      <c r="W1175" s="87"/>
      <c r="X1175" s="87"/>
      <c r="Y1175" s="77"/>
      <c r="Z1175" s="88"/>
    </row>
    <row r="1176" spans="1:26" x14ac:dyDescent="0.25">
      <c r="A1176" s="68" t="str">
        <f t="shared" si="57"/>
        <v>306366</v>
      </c>
      <c r="B1176" s="10">
        <f t="shared" si="55"/>
        <v>507.60539999999997</v>
      </c>
      <c r="C1176" s="77" t="s">
        <v>5733</v>
      </c>
      <c r="D1176" s="191" t="str">
        <f t="shared" si="56"/>
        <v>V-StrongLumio profil LED Surface 10 alu anodovaný 4050mm (252277)</v>
      </c>
      <c r="E1176" s="77" t="s">
        <v>4527</v>
      </c>
      <c r="F1176" s="77" t="s">
        <v>4528</v>
      </c>
      <c r="G1176" s="77" t="s">
        <v>4530</v>
      </c>
      <c r="H1176" s="77" t="s">
        <v>4529</v>
      </c>
      <c r="I1176" s="77" t="s">
        <v>795</v>
      </c>
      <c r="J1176" s="90">
        <v>100</v>
      </c>
      <c r="K1176" s="91">
        <v>1</v>
      </c>
      <c r="L1176" s="77" t="s">
        <v>6566</v>
      </c>
      <c r="M1176" s="78">
        <v>507.60539999999997</v>
      </c>
      <c r="N1176" s="79">
        <v>19.585439999999998</v>
      </c>
      <c r="O1176" s="79">
        <v>58.39096</v>
      </c>
      <c r="P1176" s="79">
        <v>6814.2099900000003</v>
      </c>
      <c r="Q1176" s="77"/>
      <c r="R1176" s="77"/>
      <c r="S1176" s="77"/>
      <c r="T1176" s="77"/>
      <c r="U1176" s="77"/>
      <c r="V1176" s="87"/>
      <c r="W1176" s="87"/>
      <c r="X1176" s="87"/>
      <c r="Y1176" s="77"/>
      <c r="Z1176" s="88"/>
    </row>
    <row r="1177" spans="1:26" x14ac:dyDescent="0.25">
      <c r="A1177" s="68" t="str">
        <f t="shared" si="57"/>
        <v>385049</v>
      </c>
      <c r="B1177" s="10">
        <f t="shared" si="55"/>
        <v>197.82300000000001</v>
      </c>
      <c r="C1177" s="77" t="s">
        <v>5734</v>
      </c>
      <c r="D1177" s="191" t="str">
        <f t="shared" si="56"/>
        <v>V-StrongLumio profil LED Surface 10 alu bílý 1000mm (231267)</v>
      </c>
      <c r="E1177" s="77" t="s">
        <v>4531</v>
      </c>
      <c r="F1177" s="77" t="s">
        <v>4532</v>
      </c>
      <c r="G1177" s="77" t="s">
        <v>4534</v>
      </c>
      <c r="H1177" s="77" t="s">
        <v>4533</v>
      </c>
      <c r="I1177" s="77" t="s">
        <v>795</v>
      </c>
      <c r="J1177" s="90">
        <v>100</v>
      </c>
      <c r="K1177" s="91">
        <v>1</v>
      </c>
      <c r="L1177" s="77" t="s">
        <v>6566</v>
      </c>
      <c r="M1177" s="78">
        <v>197.82300000000001</v>
      </c>
      <c r="N1177" s="79">
        <v>7.6327999999999996</v>
      </c>
      <c r="O1177" s="79">
        <v>21.02778</v>
      </c>
      <c r="P1177" s="79">
        <v>2754.9399899999999</v>
      </c>
      <c r="Q1177" s="77"/>
      <c r="R1177" s="77"/>
      <c r="S1177" s="77"/>
      <c r="T1177" s="77"/>
      <c r="U1177" s="77"/>
      <c r="V1177" s="87"/>
      <c r="W1177" s="87"/>
      <c r="X1177" s="87"/>
      <c r="Y1177" s="77"/>
      <c r="Z1177" s="88"/>
    </row>
    <row r="1178" spans="1:26" x14ac:dyDescent="0.25">
      <c r="A1178" s="68" t="str">
        <f t="shared" si="57"/>
        <v>245946</v>
      </c>
      <c r="B1178" s="10">
        <f t="shared" si="55"/>
        <v>377.96820000000002</v>
      </c>
      <c r="C1178" s="77" t="s">
        <v>5735</v>
      </c>
      <c r="D1178" s="191" t="str">
        <f t="shared" si="56"/>
        <v>V-StrongLumio profil LED Surface 10 alu bílý 2000mm (230904)</v>
      </c>
      <c r="E1178" s="77" t="s">
        <v>4535</v>
      </c>
      <c r="F1178" s="77" t="s">
        <v>4536</v>
      </c>
      <c r="G1178" s="77" t="s">
        <v>4538</v>
      </c>
      <c r="H1178" s="77" t="s">
        <v>4537</v>
      </c>
      <c r="I1178" s="77" t="s">
        <v>795</v>
      </c>
      <c r="J1178" s="90">
        <v>100</v>
      </c>
      <c r="K1178" s="91">
        <v>1</v>
      </c>
      <c r="L1178" s="77" t="s">
        <v>6566</v>
      </c>
      <c r="M1178" s="78">
        <v>377.96820000000002</v>
      </c>
      <c r="N1178" s="79">
        <v>14.58352</v>
      </c>
      <c r="O1178" s="79">
        <v>43.886769999999999</v>
      </c>
      <c r="P1178" s="79">
        <v>5083.2299999999996</v>
      </c>
      <c r="Q1178" s="77"/>
      <c r="R1178" s="77"/>
      <c r="S1178" s="77"/>
      <c r="T1178" s="77"/>
      <c r="U1178" s="77"/>
      <c r="V1178" s="87"/>
      <c r="W1178" s="87"/>
      <c r="X1178" s="87"/>
      <c r="Y1178" s="77"/>
      <c r="Z1178" s="88"/>
    </row>
    <row r="1179" spans="1:26" x14ac:dyDescent="0.25">
      <c r="A1179" s="68" t="str">
        <f t="shared" si="57"/>
        <v>306361</v>
      </c>
      <c r="B1179" s="10">
        <f t="shared" si="55"/>
        <v>605.25419999999997</v>
      </c>
      <c r="C1179" s="77" t="s">
        <v>5736</v>
      </c>
      <c r="D1179" s="191" t="str">
        <f t="shared" si="56"/>
        <v>V-StrongLumio profil LED Surface 10 alu bílý 3000mm (285023)</v>
      </c>
      <c r="E1179" s="77" t="s">
        <v>4539</v>
      </c>
      <c r="F1179" s="77" t="s">
        <v>4540</v>
      </c>
      <c r="G1179" s="77" t="s">
        <v>4542</v>
      </c>
      <c r="H1179" s="77" t="s">
        <v>4541</v>
      </c>
      <c r="I1179" s="77" t="s">
        <v>795</v>
      </c>
      <c r="J1179" s="90">
        <v>10</v>
      </c>
      <c r="K1179" s="91">
        <v>1</v>
      </c>
      <c r="L1179" s="77" t="s">
        <v>6566</v>
      </c>
      <c r="M1179" s="78">
        <v>605.25419999999997</v>
      </c>
      <c r="N1179" s="79">
        <v>23.353120000000001</v>
      </c>
      <c r="O1179" s="79">
        <v>70.047920000000005</v>
      </c>
      <c r="P1179" s="79">
        <v>8130.7299899999998</v>
      </c>
      <c r="Q1179" s="77"/>
      <c r="R1179" s="77"/>
      <c r="S1179" s="77"/>
      <c r="T1179" s="77"/>
      <c r="U1179" s="77"/>
      <c r="V1179" s="87"/>
      <c r="W1179" s="87"/>
      <c r="X1179" s="87"/>
      <c r="Y1179" s="77"/>
      <c r="Z1179" s="88"/>
    </row>
    <row r="1180" spans="1:26" x14ac:dyDescent="0.25">
      <c r="A1180" s="68" t="str">
        <f t="shared" si="57"/>
        <v>385070</v>
      </c>
      <c r="B1180" s="10">
        <f t="shared" si="55"/>
        <v>818.2296</v>
      </c>
      <c r="C1180" s="77" t="s">
        <v>5737</v>
      </c>
      <c r="D1180" s="191" t="str">
        <f t="shared" si="56"/>
        <v>V-StrongLumio profil LED Surface 10 alu bílý 4050mm (353540)</v>
      </c>
      <c r="E1180" s="77" t="s">
        <v>4543</v>
      </c>
      <c r="F1180" s="77" t="s">
        <v>4544</v>
      </c>
      <c r="G1180" s="77" t="s">
        <v>4546</v>
      </c>
      <c r="H1180" s="77" t="s">
        <v>4545</v>
      </c>
      <c r="I1180" s="77" t="s">
        <v>795</v>
      </c>
      <c r="J1180" s="90">
        <v>10</v>
      </c>
      <c r="K1180" s="91">
        <v>1</v>
      </c>
      <c r="L1180" s="77" t="s">
        <v>6566</v>
      </c>
      <c r="M1180" s="78">
        <v>818.2296</v>
      </c>
      <c r="N1180" s="79">
        <v>31.57056</v>
      </c>
      <c r="O1180" s="79">
        <v>96.370909999999995</v>
      </c>
      <c r="P1180" s="79">
        <v>11409.84</v>
      </c>
      <c r="Q1180" s="77"/>
      <c r="R1180" s="77"/>
      <c r="S1180" s="77"/>
      <c r="T1180" s="77"/>
      <c r="U1180" s="77"/>
      <c r="V1180" s="87"/>
      <c r="W1180" s="87"/>
      <c r="X1180" s="87"/>
      <c r="Y1180" s="77"/>
      <c r="Z1180" s="88"/>
    </row>
    <row r="1181" spans="1:26" x14ac:dyDescent="0.25">
      <c r="A1181" s="68" t="str">
        <f t="shared" si="57"/>
        <v>385061</v>
      </c>
      <c r="B1181" s="10">
        <f t="shared" si="55"/>
        <v>822.18240000000003</v>
      </c>
      <c r="C1181" s="77" t="s">
        <v>5738</v>
      </c>
      <c r="D1181" s="191" t="str">
        <f t="shared" si="56"/>
        <v>V-StrongLumio profil LED Surface 10 alu bílý 4050mm (353540)</v>
      </c>
      <c r="E1181" s="77" t="s">
        <v>4543</v>
      </c>
      <c r="F1181" s="77" t="s">
        <v>4544</v>
      </c>
      <c r="G1181" s="77" t="s">
        <v>4546</v>
      </c>
      <c r="H1181" s="77" t="s">
        <v>4545</v>
      </c>
      <c r="I1181" s="77" t="s">
        <v>795</v>
      </c>
      <c r="J1181" s="90">
        <v>10</v>
      </c>
      <c r="K1181" s="91">
        <v>1</v>
      </c>
      <c r="L1181" s="77" t="s">
        <v>6566</v>
      </c>
      <c r="M1181" s="78">
        <v>822.18240000000003</v>
      </c>
      <c r="N1181" s="79">
        <v>31.57056</v>
      </c>
      <c r="O1181" s="79">
        <v>93.908959999999993</v>
      </c>
      <c r="P1181" s="79">
        <v>11312.478510000001</v>
      </c>
      <c r="Q1181" s="77"/>
      <c r="R1181" s="77"/>
      <c r="S1181" s="77"/>
      <c r="T1181" s="77"/>
      <c r="U1181" s="77"/>
      <c r="V1181" s="87"/>
      <c r="W1181" s="87"/>
      <c r="X1181" s="87"/>
      <c r="Y1181" s="77"/>
      <c r="Z1181" s="88"/>
    </row>
    <row r="1182" spans="1:26" x14ac:dyDescent="0.25">
      <c r="A1182" s="68" t="str">
        <f t="shared" si="57"/>
        <v>385023</v>
      </c>
      <c r="B1182" s="10">
        <f t="shared" ref="B1182:B1225" si="58">IF($B$1=1,M1182,IF($B$1=2,N1182,IF($B$1=3,O1182,IF($B$1=4,P1182))))</f>
        <v>202.87379999999999</v>
      </c>
      <c r="C1182" s="77" t="s">
        <v>5739</v>
      </c>
      <c r="D1182" s="191" t="str">
        <f t="shared" si="56"/>
        <v>V-StrongLumio profil LED Surface 10 alu černý 1000mm (231266)</v>
      </c>
      <c r="E1182" s="77" t="s">
        <v>4547</v>
      </c>
      <c r="F1182" s="77" t="s">
        <v>4548</v>
      </c>
      <c r="G1182" s="77" t="s">
        <v>4550</v>
      </c>
      <c r="H1182" s="77" t="s">
        <v>4549</v>
      </c>
      <c r="I1182" s="77" t="s">
        <v>795</v>
      </c>
      <c r="J1182" s="90">
        <v>100</v>
      </c>
      <c r="K1182" s="91">
        <v>1</v>
      </c>
      <c r="L1182" s="77" t="s">
        <v>6566</v>
      </c>
      <c r="M1182" s="78">
        <v>202.87379999999999</v>
      </c>
      <c r="N1182" s="79">
        <v>7.82768</v>
      </c>
      <c r="O1182" s="79">
        <v>23.27657</v>
      </c>
      <c r="P1182" s="79">
        <v>2828.0799900000002</v>
      </c>
      <c r="Q1182" s="77"/>
      <c r="R1182" s="77"/>
      <c r="S1182" s="77"/>
      <c r="T1182" s="77"/>
      <c r="U1182" s="77"/>
      <c r="V1182" s="87"/>
      <c r="W1182" s="87"/>
      <c r="X1182" s="87"/>
      <c r="Y1182" s="77"/>
      <c r="Z1182" s="88"/>
    </row>
    <row r="1183" spans="1:26" x14ac:dyDescent="0.25">
      <c r="A1183" s="68" t="str">
        <f t="shared" si="57"/>
        <v>245947</v>
      </c>
      <c r="B1183" s="10">
        <f t="shared" si="58"/>
        <v>388.06979999999999</v>
      </c>
      <c r="C1183" s="77" t="s">
        <v>5740</v>
      </c>
      <c r="D1183" s="191" t="str">
        <f t="shared" si="56"/>
        <v>V-StrongLumio profil LED Surface 10 alu černý 2000mm (230903)</v>
      </c>
      <c r="E1183" s="77" t="s">
        <v>4551</v>
      </c>
      <c r="F1183" s="77" t="s">
        <v>4501</v>
      </c>
      <c r="G1183" s="77" t="s">
        <v>4503</v>
      </c>
      <c r="H1183" s="77" t="s">
        <v>4552</v>
      </c>
      <c r="I1183" s="77" t="s">
        <v>795</v>
      </c>
      <c r="J1183" s="90">
        <v>100</v>
      </c>
      <c r="K1183" s="91">
        <v>1</v>
      </c>
      <c r="L1183" s="77" t="s">
        <v>6566</v>
      </c>
      <c r="M1183" s="78">
        <v>388.06979999999999</v>
      </c>
      <c r="N1183" s="79">
        <v>14.973280000000001</v>
      </c>
      <c r="O1183" s="79">
        <v>45.839089999999999</v>
      </c>
      <c r="P1183" s="79">
        <v>5217.3200100000004</v>
      </c>
      <c r="Q1183" s="77"/>
      <c r="R1183" s="77"/>
      <c r="S1183" s="77"/>
      <c r="T1183" s="77"/>
      <c r="U1183" s="77"/>
      <c r="V1183" s="87"/>
      <c r="W1183" s="87"/>
      <c r="X1183" s="87"/>
      <c r="Y1183" s="77"/>
      <c r="Z1183" s="88"/>
    </row>
    <row r="1184" spans="1:26" x14ac:dyDescent="0.25">
      <c r="A1184" s="68" t="str">
        <f t="shared" si="57"/>
        <v>306358</v>
      </c>
      <c r="B1184" s="10">
        <f t="shared" si="58"/>
        <v>621.24839999999995</v>
      </c>
      <c r="C1184" s="77" t="s">
        <v>5741</v>
      </c>
      <c r="D1184" s="191" t="str">
        <f t="shared" si="56"/>
        <v>V-StrongLumio profil LED Surface 10 alu černý 3000mm (275767)</v>
      </c>
      <c r="E1184" s="77" t="s">
        <v>4553</v>
      </c>
      <c r="F1184" s="77" t="s">
        <v>4554</v>
      </c>
      <c r="G1184" s="77" t="s">
        <v>4556</v>
      </c>
      <c r="H1184" s="77" t="s">
        <v>4555</v>
      </c>
      <c r="I1184" s="77" t="s">
        <v>795</v>
      </c>
      <c r="J1184" s="90">
        <v>100</v>
      </c>
      <c r="K1184" s="91">
        <v>1</v>
      </c>
      <c r="L1184" s="77" t="s">
        <v>6566</v>
      </c>
      <c r="M1184" s="78">
        <v>621.24839999999995</v>
      </c>
      <c r="N1184" s="79">
        <v>23.97024</v>
      </c>
      <c r="O1184" s="79">
        <v>72.731480000000005</v>
      </c>
      <c r="P1184" s="79">
        <v>8337.9599999999991</v>
      </c>
      <c r="Q1184" s="77"/>
      <c r="R1184" s="77"/>
      <c r="S1184" s="77"/>
      <c r="T1184" s="77"/>
      <c r="U1184" s="77"/>
      <c r="V1184" s="87"/>
      <c r="W1184" s="87"/>
      <c r="X1184" s="87"/>
      <c r="Y1184" s="77"/>
      <c r="Z1184" s="88"/>
    </row>
    <row r="1185" spans="1:26" x14ac:dyDescent="0.25">
      <c r="A1185" s="68" t="str">
        <f t="shared" si="57"/>
        <v>385024</v>
      </c>
      <c r="B1185" s="10">
        <f t="shared" si="58"/>
        <v>814.02059999999994</v>
      </c>
      <c r="C1185" s="77" t="s">
        <v>5742</v>
      </c>
      <c r="D1185" s="191" t="str">
        <f t="shared" si="56"/>
        <v>V-StrongLumio profil LED Surface 10 alu černý 4050mm (353541)</v>
      </c>
      <c r="E1185" s="77" t="s">
        <v>4557</v>
      </c>
      <c r="F1185" s="77" t="s">
        <v>4558</v>
      </c>
      <c r="G1185" s="77" t="s">
        <v>4560</v>
      </c>
      <c r="H1185" s="77" t="s">
        <v>4559</v>
      </c>
      <c r="I1185" s="77" t="s">
        <v>795</v>
      </c>
      <c r="J1185" s="90">
        <v>10</v>
      </c>
      <c r="K1185" s="91">
        <v>1</v>
      </c>
      <c r="L1185" s="77" t="s">
        <v>6566</v>
      </c>
      <c r="M1185" s="78">
        <v>814.02059999999994</v>
      </c>
      <c r="N1185" s="79">
        <v>31.408159999999999</v>
      </c>
      <c r="O1185" s="79">
        <v>89.071839999999995</v>
      </c>
      <c r="P1185" s="79">
        <v>10934.43</v>
      </c>
      <c r="Q1185" s="77"/>
      <c r="R1185" s="77"/>
      <c r="S1185" s="77"/>
      <c r="T1185" s="77"/>
      <c r="U1185" s="77"/>
      <c r="V1185" s="87"/>
      <c r="W1185" s="87"/>
      <c r="X1185" s="87"/>
      <c r="Y1185" s="77"/>
      <c r="Z1185" s="88"/>
    </row>
    <row r="1186" spans="1:26" x14ac:dyDescent="0.25">
      <c r="A1186" s="68" t="str">
        <f t="shared" si="57"/>
        <v>512983</v>
      </c>
      <c r="B1186" s="10">
        <f t="shared" si="58"/>
        <v>984.90599999999995</v>
      </c>
      <c r="C1186" s="77" t="s">
        <v>5743</v>
      </c>
      <c r="D1186" s="191" t="str">
        <f t="shared" si="56"/>
        <v>V-StrongLumio profil Lucera narážecí alu anodovaný 2000mm + těsnění (359333)</v>
      </c>
      <c r="E1186" s="77" t="s">
        <v>4561</v>
      </c>
      <c r="F1186" s="77" t="s">
        <v>4562</v>
      </c>
      <c r="G1186" s="77" t="s">
        <v>4564</v>
      </c>
      <c r="H1186" s="77" t="s">
        <v>4563</v>
      </c>
      <c r="I1186" s="77" t="s">
        <v>795</v>
      </c>
      <c r="J1186" s="90">
        <v>20</v>
      </c>
      <c r="K1186" s="91">
        <v>1</v>
      </c>
      <c r="L1186" s="77" t="s">
        <v>6566</v>
      </c>
      <c r="M1186" s="78">
        <v>984.90599999999995</v>
      </c>
      <c r="N1186" s="79">
        <v>38.001600000000003</v>
      </c>
      <c r="O1186" s="79">
        <v>120.38357000000001</v>
      </c>
      <c r="P1186" s="79">
        <v>13750.32</v>
      </c>
      <c r="Q1186" s="77"/>
      <c r="R1186" s="77"/>
      <c r="S1186" s="77"/>
      <c r="T1186" s="77"/>
      <c r="U1186" s="77"/>
      <c r="V1186" s="87"/>
      <c r="W1186" s="87"/>
      <c r="X1186" s="87"/>
      <c r="Y1186" s="77"/>
      <c r="Z1186" s="88"/>
    </row>
    <row r="1187" spans="1:26" x14ac:dyDescent="0.25">
      <c r="A1187" s="68" t="str">
        <f t="shared" si="57"/>
        <v>385079</v>
      </c>
      <c r="B1187" s="10">
        <f t="shared" si="58"/>
        <v>1991.6987999999999</v>
      </c>
      <c r="C1187" s="77" t="s">
        <v>5744</v>
      </c>
      <c r="D1187" s="191" t="str">
        <f t="shared" si="56"/>
        <v>V-StrongLumio profil Lucera narážecí alu anodovaný 4000mm + těsnění</v>
      </c>
      <c r="E1187" s="77" t="s">
        <v>4565</v>
      </c>
      <c r="F1187" s="77" t="s">
        <v>4566</v>
      </c>
      <c r="G1187" s="77" t="s">
        <v>4568</v>
      </c>
      <c r="H1187" s="77" t="s">
        <v>4567</v>
      </c>
      <c r="I1187" s="77" t="s">
        <v>795</v>
      </c>
      <c r="J1187" s="90">
        <v>20</v>
      </c>
      <c r="K1187" s="91">
        <v>1</v>
      </c>
      <c r="L1187" s="77" t="s">
        <v>6566</v>
      </c>
      <c r="M1187" s="78">
        <v>1991.6987999999999</v>
      </c>
      <c r="N1187" s="79">
        <v>76.847679999999997</v>
      </c>
      <c r="O1187" s="79">
        <v>243.54195999999999</v>
      </c>
      <c r="P1187" s="79">
        <v>27817.580010000001</v>
      </c>
      <c r="Q1187" s="77"/>
      <c r="R1187" s="77"/>
      <c r="S1187" s="77"/>
      <c r="T1187" s="77"/>
      <c r="U1187" s="77"/>
      <c r="V1187" s="87"/>
      <c r="W1187" s="87"/>
      <c r="X1187" s="87"/>
      <c r="Y1187" s="77"/>
      <c r="Z1187" s="88"/>
    </row>
    <row r="1188" spans="1:26" x14ac:dyDescent="0.25">
      <c r="A1188" s="68" t="str">
        <f t="shared" si="57"/>
        <v>385085</v>
      </c>
      <c r="B1188" s="10">
        <f t="shared" si="58"/>
        <v>1179.3617999999999</v>
      </c>
      <c r="C1188" s="77" t="s">
        <v>5745</v>
      </c>
      <c r="D1188" s="191" t="str">
        <f t="shared" si="56"/>
        <v>V-StrongLumio profil Lucera narážecí alu bílý lak 2000mm + těsnění</v>
      </c>
      <c r="E1188" s="77" t="s">
        <v>4569</v>
      </c>
      <c r="F1188" s="77" t="s">
        <v>4570</v>
      </c>
      <c r="G1188" s="77" t="s">
        <v>4572</v>
      </c>
      <c r="H1188" s="77" t="s">
        <v>4571</v>
      </c>
      <c r="I1188" s="77" t="s">
        <v>795</v>
      </c>
      <c r="J1188" s="90">
        <v>20</v>
      </c>
      <c r="K1188" s="91">
        <v>1</v>
      </c>
      <c r="L1188" s="77" t="s">
        <v>6566</v>
      </c>
      <c r="M1188" s="78">
        <v>1179.3617999999999</v>
      </c>
      <c r="N1188" s="79">
        <v>45.504480000000001</v>
      </c>
      <c r="O1188" s="79">
        <v>144.18280999999999</v>
      </c>
      <c r="P1188" s="79">
        <v>16468.689989999999</v>
      </c>
      <c r="Q1188" s="77"/>
      <c r="R1188" s="77"/>
      <c r="S1188" s="77"/>
      <c r="T1188" s="77"/>
      <c r="U1188" s="77"/>
      <c r="V1188" s="87"/>
      <c r="W1188" s="87"/>
      <c r="X1188" s="87"/>
      <c r="Y1188" s="77"/>
      <c r="Z1188" s="88"/>
    </row>
    <row r="1189" spans="1:26" x14ac:dyDescent="0.25">
      <c r="A1189" s="68" t="str">
        <f t="shared" si="57"/>
        <v>385086</v>
      </c>
      <c r="B1189" s="10">
        <f t="shared" si="58"/>
        <v>2267.8092000000001</v>
      </c>
      <c r="C1189" s="77" t="s">
        <v>5746</v>
      </c>
      <c r="D1189" s="191" t="str">
        <f t="shared" si="56"/>
        <v>V-StrongLumio profil Lucera narážecí alu bílý lak 4000mm + těsnění</v>
      </c>
      <c r="E1189" s="77" t="s">
        <v>4573</v>
      </c>
      <c r="F1189" s="77" t="s">
        <v>4574</v>
      </c>
      <c r="G1189" s="77" t="s">
        <v>4576</v>
      </c>
      <c r="H1189" s="77" t="s">
        <v>4575</v>
      </c>
      <c r="I1189" s="77" t="s">
        <v>795</v>
      </c>
      <c r="J1189" s="90">
        <v>20</v>
      </c>
      <c r="K1189" s="91">
        <v>1</v>
      </c>
      <c r="L1189" s="77" t="s">
        <v>6566</v>
      </c>
      <c r="M1189" s="78">
        <v>2267.8092000000001</v>
      </c>
      <c r="N1189" s="79">
        <v>87.50112</v>
      </c>
      <c r="O1189" s="79">
        <v>277.26643999999999</v>
      </c>
      <c r="P1189" s="79">
        <v>31669.62</v>
      </c>
      <c r="Q1189" s="77"/>
      <c r="R1189" s="77"/>
      <c r="S1189" s="77"/>
      <c r="T1189" s="77"/>
      <c r="U1189" s="77"/>
      <c r="V1189" s="87"/>
      <c r="W1189" s="87"/>
      <c r="X1189" s="87"/>
      <c r="Y1189" s="77"/>
      <c r="Z1189" s="88"/>
    </row>
    <row r="1190" spans="1:26" x14ac:dyDescent="0.25">
      <c r="A1190" s="68" t="str">
        <f t="shared" si="57"/>
        <v>548046</v>
      </c>
      <c r="B1190" s="10">
        <f t="shared" si="58"/>
        <v>105.38063</v>
      </c>
      <c r="C1190" s="77" t="s">
        <v>5747</v>
      </c>
      <c r="D1190" s="191" t="str">
        <f t="shared" si="56"/>
        <v>V-StrongLumio propojovací kabel k All in One jednotce - RGBCCT 2m (487574)</v>
      </c>
      <c r="E1190" s="77" t="s">
        <v>4577</v>
      </c>
      <c r="F1190" s="77" t="s">
        <v>4578</v>
      </c>
      <c r="G1190" s="77" t="s">
        <v>4580</v>
      </c>
      <c r="H1190" s="77" t="s">
        <v>4579</v>
      </c>
      <c r="I1190" s="77" t="s">
        <v>795</v>
      </c>
      <c r="J1190" s="90">
        <v>100</v>
      </c>
      <c r="K1190" s="91">
        <v>1</v>
      </c>
      <c r="L1190" s="77" t="s">
        <v>6566</v>
      </c>
      <c r="M1190" s="78">
        <v>105.38063</v>
      </c>
      <c r="N1190" s="79">
        <v>4.7015900000000004</v>
      </c>
      <c r="O1190" s="79">
        <v>15.063879999999999</v>
      </c>
      <c r="P1190" s="79">
        <v>0</v>
      </c>
      <c r="Q1190" s="77"/>
      <c r="R1190" s="77"/>
      <c r="S1190" s="77"/>
      <c r="T1190" s="77"/>
      <c r="U1190" s="77"/>
      <c r="V1190" s="87"/>
      <c r="W1190" s="87"/>
      <c r="X1190" s="87"/>
      <c r="Y1190" s="77"/>
      <c r="Z1190" s="88"/>
    </row>
    <row r="1191" spans="1:26" x14ac:dyDescent="0.25">
      <c r="A1191" s="68" t="str">
        <f t="shared" si="57"/>
        <v>365913</v>
      </c>
      <c r="B1191" s="10">
        <f t="shared" si="58"/>
        <v>43.589700000000001</v>
      </c>
      <c r="C1191" s="77" t="s">
        <v>5748</v>
      </c>
      <c r="D1191" s="191" t="str">
        <f t="shared" si="56"/>
        <v>V-StrongLumio propojovací kabel kulatý konektor (Jack) Mini (fem) (342541)</v>
      </c>
      <c r="E1191" s="77" t="s">
        <v>4581</v>
      </c>
      <c r="F1191" s="77" t="s">
        <v>4582</v>
      </c>
      <c r="G1191" s="77" t="s">
        <v>4584</v>
      </c>
      <c r="H1191" s="77" t="s">
        <v>4583</v>
      </c>
      <c r="I1191" s="77" t="s">
        <v>795</v>
      </c>
      <c r="J1191" s="90">
        <v>1</v>
      </c>
      <c r="K1191" s="91">
        <v>1</v>
      </c>
      <c r="L1191" s="77" t="s">
        <v>6566</v>
      </c>
      <c r="M1191" s="78">
        <v>43.589700000000001</v>
      </c>
      <c r="N1191" s="79">
        <v>1.9824999999999999</v>
      </c>
      <c r="O1191" s="79">
        <v>5.89649</v>
      </c>
      <c r="P1191" s="79">
        <v>718.07421999999997</v>
      </c>
      <c r="Q1191" s="77"/>
      <c r="R1191" s="77"/>
      <c r="S1191" s="77"/>
      <c r="T1191" s="77"/>
      <c r="U1191" s="77"/>
      <c r="V1191" s="87"/>
      <c r="W1191" s="87"/>
      <c r="X1191" s="87"/>
      <c r="Y1191" s="77"/>
      <c r="Z1191" s="88"/>
    </row>
    <row r="1192" spans="1:26" x14ac:dyDescent="0.25">
      <c r="A1192" s="68" t="str">
        <f t="shared" si="57"/>
        <v>555944</v>
      </c>
      <c r="B1192" s="10">
        <f t="shared" si="58"/>
        <v>750.07295999999997</v>
      </c>
      <c r="C1192" s="77" t="s">
        <v>5749</v>
      </c>
      <c r="D1192" s="191" t="str">
        <f t="shared" si="56"/>
        <v>V-StrongLumio přijímač pro bezdrát. samonapáj. vypínače 12/24V 2PIN CCT (546641)</v>
      </c>
      <c r="E1192" s="77" t="s">
        <v>4585</v>
      </c>
      <c r="F1192" s="77" t="s">
        <v>4586</v>
      </c>
      <c r="G1192" s="77" t="s">
        <v>4588</v>
      </c>
      <c r="H1192" s="77" t="s">
        <v>4587</v>
      </c>
      <c r="I1192" s="77" t="s">
        <v>795</v>
      </c>
      <c r="J1192" s="90">
        <v>1</v>
      </c>
      <c r="K1192" s="91">
        <v>1</v>
      </c>
      <c r="L1192" s="77" t="s">
        <v>6566</v>
      </c>
      <c r="M1192" s="78">
        <v>750.07295999999997</v>
      </c>
      <c r="N1192" s="79">
        <v>29.276859999999999</v>
      </c>
      <c r="O1192" s="79">
        <v>83.672740000000005</v>
      </c>
      <c r="P1192" s="79">
        <v>0</v>
      </c>
      <c r="Q1192" s="77"/>
      <c r="R1192" s="77"/>
      <c r="S1192" s="77"/>
      <c r="T1192" s="77"/>
      <c r="U1192" s="77"/>
      <c r="V1192" s="87"/>
      <c r="W1192" s="87"/>
      <c r="X1192" s="87"/>
      <c r="Y1192" s="77"/>
      <c r="Z1192" s="88"/>
    </row>
    <row r="1193" spans="1:26" x14ac:dyDescent="0.25">
      <c r="A1193" s="68" t="str">
        <f t="shared" si="57"/>
        <v>557771</v>
      </c>
      <c r="B1193" s="10">
        <f t="shared" si="58"/>
        <v>214.1412</v>
      </c>
      <c r="C1193" s="77" t="s">
        <v>6263</v>
      </c>
      <c r="D1193" s="191" t="str">
        <f t="shared" si="56"/>
        <v>V-StrongLumio přijímač pro bezdrátové nabíjecí senzory Jack/6x Mini (546611)</v>
      </c>
      <c r="E1193" s="77" t="s">
        <v>6264</v>
      </c>
      <c r="F1193" s="77" t="s">
        <v>3063</v>
      </c>
      <c r="G1193" s="77" t="s">
        <v>3065</v>
      </c>
      <c r="H1193" s="77" t="s">
        <v>3064</v>
      </c>
      <c r="I1193" s="77" t="s">
        <v>795</v>
      </c>
      <c r="J1193" s="90">
        <v>1</v>
      </c>
      <c r="K1193" s="91">
        <v>1</v>
      </c>
      <c r="L1193" s="77" t="s">
        <v>6566</v>
      </c>
      <c r="M1193" s="78">
        <v>214.1412</v>
      </c>
      <c r="N1193" s="79">
        <v>9.7792899999999996</v>
      </c>
      <c r="O1193" s="79">
        <v>0</v>
      </c>
      <c r="P1193" s="79">
        <v>0</v>
      </c>
      <c r="Q1193" s="77"/>
      <c r="R1193" s="77"/>
      <c r="S1193" s="77"/>
      <c r="T1193" s="77"/>
      <c r="U1193" s="77"/>
      <c r="V1193" s="87"/>
      <c r="W1193" s="87"/>
      <c r="X1193" s="87"/>
      <c r="Y1193" s="77"/>
      <c r="Z1193" s="88"/>
    </row>
    <row r="1194" spans="1:26" x14ac:dyDescent="0.25">
      <c r="A1194" s="68" t="str">
        <f t="shared" si="57"/>
        <v>484709</v>
      </c>
      <c r="B1194" s="10">
        <f t="shared" si="58"/>
        <v>1037.8368</v>
      </c>
      <c r="C1194" s="77" t="s">
        <v>5750</v>
      </c>
      <c r="D1194" s="191" t="str">
        <f t="shared" si="56"/>
        <v>V-StrongLumio přijímač pro bezdrátové samonapájecí vypínače 12/24V (467133)</v>
      </c>
      <c r="E1194" s="77" t="s">
        <v>4589</v>
      </c>
      <c r="F1194" s="77" t="s">
        <v>4590</v>
      </c>
      <c r="G1194" s="77" t="s">
        <v>4591</v>
      </c>
      <c r="H1194" s="77" t="s">
        <v>794</v>
      </c>
      <c r="I1194" s="77" t="s">
        <v>795</v>
      </c>
      <c r="J1194" s="90">
        <v>126</v>
      </c>
      <c r="K1194" s="91">
        <v>1</v>
      </c>
      <c r="L1194" s="77" t="s">
        <v>6566</v>
      </c>
      <c r="M1194" s="78">
        <v>1037.8368</v>
      </c>
      <c r="N1194" s="79">
        <v>40.343539999999997</v>
      </c>
      <c r="O1194" s="79">
        <v>109.57414</v>
      </c>
      <c r="P1194" s="79">
        <v>15097.558429999999</v>
      </c>
      <c r="Q1194" s="77"/>
      <c r="R1194" s="77"/>
      <c r="S1194" s="77"/>
      <c r="T1194" s="77"/>
      <c r="U1194" s="77"/>
      <c r="V1194" s="87"/>
      <c r="W1194" s="87"/>
      <c r="X1194" s="87"/>
      <c r="Y1194" s="77"/>
      <c r="Z1194" s="88"/>
    </row>
    <row r="1195" spans="1:26" x14ac:dyDescent="0.25">
      <c r="A1195" s="68" t="str">
        <f t="shared" si="57"/>
        <v>553786</v>
      </c>
      <c r="B1195" s="10">
        <f t="shared" si="58"/>
        <v>689.92560000000003</v>
      </c>
      <c r="C1195" s="77" t="s">
        <v>5751</v>
      </c>
      <c r="D1195" s="191" t="str">
        <f t="shared" si="56"/>
        <v>V-StrongLumio přijímač/rozvaděč pro bezdrátové samo. vypínače 12/24V (535062)</v>
      </c>
      <c r="E1195" s="77" t="s">
        <v>6200</v>
      </c>
      <c r="F1195" s="77" t="s">
        <v>4592</v>
      </c>
      <c r="G1195" s="77" t="s">
        <v>4593</v>
      </c>
      <c r="H1195" s="77" t="s">
        <v>794</v>
      </c>
      <c r="I1195" s="77" t="s">
        <v>795</v>
      </c>
      <c r="J1195" s="90">
        <v>280</v>
      </c>
      <c r="K1195" s="91">
        <v>1</v>
      </c>
      <c r="L1195" s="77" t="s">
        <v>6566</v>
      </c>
      <c r="M1195" s="78">
        <v>689.92560000000003</v>
      </c>
      <c r="N1195" s="79">
        <v>24.397379999999998</v>
      </c>
      <c r="O1195" s="79">
        <v>73.544740000000004</v>
      </c>
      <c r="P1195" s="79">
        <v>0</v>
      </c>
      <c r="Q1195" s="77"/>
      <c r="R1195" s="77"/>
      <c r="S1195" s="77"/>
      <c r="T1195" s="77"/>
      <c r="U1195" s="77"/>
      <c r="V1195" s="87"/>
      <c r="W1195" s="87"/>
      <c r="X1195" s="87"/>
      <c r="Y1195" s="77"/>
      <c r="Z1195" s="88"/>
    </row>
    <row r="1196" spans="1:26" x14ac:dyDescent="0.25">
      <c r="A1196" s="68" t="str">
        <f t="shared" si="57"/>
        <v>310782</v>
      </c>
      <c r="B1196" s="10">
        <f t="shared" si="58"/>
        <v>40.336799999999997</v>
      </c>
      <c r="C1196" s="77" t="s">
        <v>5752</v>
      </c>
      <c r="D1196" s="191" t="str">
        <f t="shared" si="56"/>
        <v>V-StrongLumio připojovací kabel 1,8m Mini konektor (543616)</v>
      </c>
      <c r="E1196" s="77" t="s">
        <v>4594</v>
      </c>
      <c r="F1196" s="77" t="s">
        <v>4595</v>
      </c>
      <c r="G1196" s="77" t="s">
        <v>4597</v>
      </c>
      <c r="H1196" s="77" t="s">
        <v>4596</v>
      </c>
      <c r="I1196" s="77" t="s">
        <v>795</v>
      </c>
      <c r="J1196" s="90">
        <v>100</v>
      </c>
      <c r="K1196" s="91">
        <v>1</v>
      </c>
      <c r="L1196" s="77" t="s">
        <v>6566</v>
      </c>
      <c r="M1196" s="78">
        <v>40.336799999999997</v>
      </c>
      <c r="N1196" s="79">
        <v>1.7199</v>
      </c>
      <c r="O1196" s="79">
        <v>4.7149799999999997</v>
      </c>
      <c r="P1196" s="79">
        <v>544.53375000000005</v>
      </c>
      <c r="Q1196" s="77"/>
      <c r="R1196" s="77"/>
      <c r="S1196" s="77"/>
      <c r="T1196" s="77"/>
      <c r="U1196" s="77"/>
      <c r="V1196" s="87"/>
      <c r="W1196" s="87"/>
      <c r="X1196" s="87"/>
      <c r="Y1196" s="77"/>
      <c r="Z1196" s="88"/>
    </row>
    <row r="1197" spans="1:26" x14ac:dyDescent="0.25">
      <c r="A1197" s="68" t="str">
        <f t="shared" si="57"/>
        <v>305216</v>
      </c>
      <c r="B1197" s="10">
        <f t="shared" si="58"/>
        <v>11.1111</v>
      </c>
      <c r="C1197" s="77" t="s">
        <v>5753</v>
      </c>
      <c r="D1197" s="191" t="str">
        <f t="shared" si="56"/>
        <v>V-StrongLumio připojovací kabel s kulatým konektorem pro LED 0,15m (179054)</v>
      </c>
      <c r="E1197" s="77" t="s">
        <v>4598</v>
      </c>
      <c r="F1197" s="77" t="s">
        <v>4599</v>
      </c>
      <c r="G1197" s="77" t="s">
        <v>4601</v>
      </c>
      <c r="H1197" s="77" t="s">
        <v>4600</v>
      </c>
      <c r="I1197" s="77" t="s">
        <v>795</v>
      </c>
      <c r="J1197" s="90">
        <v>1</v>
      </c>
      <c r="K1197" s="91">
        <v>1</v>
      </c>
      <c r="L1197" s="77" t="s">
        <v>6566</v>
      </c>
      <c r="M1197" s="78">
        <v>11.1111</v>
      </c>
      <c r="N1197" s="79">
        <v>0.50538000000000005</v>
      </c>
      <c r="O1197" s="79">
        <v>1.96245</v>
      </c>
      <c r="P1197" s="79">
        <v>183.03851</v>
      </c>
      <c r="Q1197" s="77"/>
      <c r="R1197" s="77"/>
      <c r="S1197" s="77"/>
      <c r="T1197" s="77"/>
      <c r="U1197" s="77"/>
      <c r="V1197" s="87"/>
      <c r="W1197" s="87"/>
      <c r="X1197" s="87"/>
      <c r="Y1197" s="77"/>
      <c r="Z1197" s="88"/>
    </row>
    <row r="1198" spans="1:26" x14ac:dyDescent="0.25">
      <c r="A1198" s="68" t="str">
        <f t="shared" si="57"/>
        <v>208189</v>
      </c>
      <c r="B1198" s="10">
        <f t="shared" si="58"/>
        <v>52.136699999999998</v>
      </c>
      <c r="C1198" s="77" t="s">
        <v>5754</v>
      </c>
      <c r="D1198" s="191" t="str">
        <f t="shared" si="56"/>
        <v>V-StrongLumio připojovací kabel s kulatým konektorem pro LED 2m (134114)</v>
      </c>
      <c r="E1198" s="77" t="s">
        <v>4602</v>
      </c>
      <c r="F1198" s="77" t="s">
        <v>4603</v>
      </c>
      <c r="G1198" s="77" t="s">
        <v>4605</v>
      </c>
      <c r="H1198" s="77" t="s">
        <v>4604</v>
      </c>
      <c r="I1198" s="77" t="s">
        <v>795</v>
      </c>
      <c r="J1198" s="90">
        <v>50</v>
      </c>
      <c r="K1198" s="91">
        <v>1</v>
      </c>
      <c r="L1198" s="77" t="s">
        <v>6566</v>
      </c>
      <c r="M1198" s="78">
        <v>52.136699999999998</v>
      </c>
      <c r="N1198" s="79">
        <v>2.3712599999999999</v>
      </c>
      <c r="O1198" s="79">
        <v>8.0940300000000001</v>
      </c>
      <c r="P1198" s="79">
        <v>858.87306999999998</v>
      </c>
      <c r="Q1198" s="77"/>
      <c r="R1198" s="77"/>
      <c r="S1198" s="77"/>
      <c r="T1198" s="77"/>
      <c r="U1198" s="77"/>
      <c r="V1198" s="87"/>
      <c r="W1198" s="87"/>
      <c r="X1198" s="87"/>
      <c r="Y1198" s="77"/>
      <c r="Z1198" s="88"/>
    </row>
    <row r="1199" spans="1:26" x14ac:dyDescent="0.25">
      <c r="A1199" s="68" t="str">
        <f t="shared" si="57"/>
        <v>557764</v>
      </c>
      <c r="B1199" s="10">
        <f t="shared" si="58"/>
        <v>687.35699999999997</v>
      </c>
      <c r="C1199" s="77" t="s">
        <v>6257</v>
      </c>
      <c r="D1199" s="191" t="str">
        <f t="shared" si="56"/>
        <v>V-StrongLumio RF dálkový ovladač/stmívač 12V/24V 1 zóna (546601)</v>
      </c>
      <c r="E1199" s="77" t="s">
        <v>6258</v>
      </c>
      <c r="F1199" s="77" t="s">
        <v>3109</v>
      </c>
      <c r="G1199" s="77" t="s">
        <v>6480</v>
      </c>
      <c r="H1199" s="77" t="s">
        <v>3110</v>
      </c>
      <c r="I1199" s="77" t="s">
        <v>889</v>
      </c>
      <c r="J1199" s="90">
        <v>1</v>
      </c>
      <c r="K1199" s="91">
        <v>1</v>
      </c>
      <c r="L1199" s="77" t="s">
        <v>6566</v>
      </c>
      <c r="M1199" s="78">
        <v>687.35699999999997</v>
      </c>
      <c r="N1199" s="79">
        <v>24.3005</v>
      </c>
      <c r="O1199" s="79">
        <v>0</v>
      </c>
      <c r="P1199" s="79">
        <v>0</v>
      </c>
      <c r="Q1199" s="77"/>
      <c r="R1199" s="77"/>
      <c r="S1199" s="77"/>
      <c r="T1199" s="77"/>
      <c r="U1199" s="77"/>
      <c r="V1199" s="87"/>
      <c r="W1199" s="87"/>
      <c r="X1199" s="87"/>
      <c r="Y1199" s="77"/>
      <c r="Z1199" s="88"/>
    </row>
    <row r="1200" spans="1:26" x14ac:dyDescent="0.25">
      <c r="A1200" s="68" t="str">
        <f t="shared" si="57"/>
        <v>228066</v>
      </c>
      <c r="B1200" s="10">
        <f t="shared" si="58"/>
        <v>121.968</v>
      </c>
      <c r="C1200" s="77" t="s">
        <v>5755</v>
      </c>
      <c r="D1200" s="191" t="str">
        <f t="shared" si="56"/>
        <v>V-StrongLumio RF dálkový vypínač/stmívač 12V/24V (223823)</v>
      </c>
      <c r="E1200" s="77" t="s">
        <v>4606</v>
      </c>
      <c r="F1200" s="77" t="s">
        <v>4607</v>
      </c>
      <c r="G1200" s="77" t="s">
        <v>4609</v>
      </c>
      <c r="H1200" s="77" t="s">
        <v>4608</v>
      </c>
      <c r="I1200" s="77" t="s">
        <v>795</v>
      </c>
      <c r="J1200" s="90">
        <v>100</v>
      </c>
      <c r="K1200" s="91">
        <v>1</v>
      </c>
      <c r="L1200" s="77" t="s">
        <v>6566</v>
      </c>
      <c r="M1200" s="78">
        <v>121.968</v>
      </c>
      <c r="N1200" s="79">
        <v>4.2944000000000004</v>
      </c>
      <c r="O1200" s="79">
        <v>12.50179</v>
      </c>
      <c r="P1200" s="79">
        <v>1474.2</v>
      </c>
      <c r="Q1200" s="77"/>
      <c r="R1200" s="77"/>
      <c r="S1200" s="77"/>
      <c r="T1200" s="77"/>
      <c r="U1200" s="77"/>
      <c r="V1200" s="87"/>
      <c r="W1200" s="87"/>
      <c r="X1200" s="87"/>
      <c r="Y1200" s="77"/>
      <c r="Z1200" s="88"/>
    </row>
    <row r="1201" spans="1:26" x14ac:dyDescent="0.25">
      <c r="A1201" s="68" t="str">
        <f t="shared" si="57"/>
        <v>414108</v>
      </c>
      <c r="B1201" s="10">
        <f t="shared" si="58"/>
        <v>536.71199999999999</v>
      </c>
      <c r="C1201" s="77" t="s">
        <v>5756</v>
      </c>
      <c r="D1201" s="191" t="str">
        <f t="shared" si="56"/>
        <v>V-StrongLumio řídící jednotka RF univerzální 4 v 1 (405357)</v>
      </c>
      <c r="E1201" s="77" t="s">
        <v>4610</v>
      </c>
      <c r="F1201" s="77" t="s">
        <v>4611</v>
      </c>
      <c r="G1201" s="77" t="s">
        <v>794</v>
      </c>
      <c r="H1201" s="77" t="s">
        <v>794</v>
      </c>
      <c r="I1201" s="77" t="s">
        <v>795</v>
      </c>
      <c r="J1201" s="90">
        <v>1</v>
      </c>
      <c r="K1201" s="91">
        <v>1</v>
      </c>
      <c r="L1201" s="77" t="s">
        <v>6566</v>
      </c>
      <c r="M1201" s="78">
        <v>536.71199999999999</v>
      </c>
      <c r="N1201" s="79">
        <v>22.440010000000001</v>
      </c>
      <c r="O1201" s="79">
        <v>76.702600000000004</v>
      </c>
      <c r="P1201" s="79">
        <v>6828.5454399999999</v>
      </c>
      <c r="Q1201" s="77"/>
      <c r="R1201" s="77"/>
      <c r="S1201" s="77"/>
      <c r="T1201" s="77"/>
      <c r="U1201" s="77"/>
      <c r="V1201" s="87"/>
      <c r="W1201" s="87"/>
      <c r="X1201" s="87"/>
      <c r="Y1201" s="77"/>
      <c r="Z1201" s="88"/>
    </row>
    <row r="1202" spans="1:26" x14ac:dyDescent="0.25">
      <c r="A1202" s="68" t="str">
        <f t="shared" si="57"/>
        <v>475042</v>
      </c>
      <c r="B1202" s="10">
        <f t="shared" si="58"/>
        <v>905.74847999999997</v>
      </c>
      <c r="C1202" s="77" t="s">
        <v>5757</v>
      </c>
      <c r="D1202" s="191" t="str">
        <f t="shared" si="56"/>
        <v>V-StrongLumio řídící jednotka WiFi univerzální 5 v 1 - Smart (467117)</v>
      </c>
      <c r="E1202" s="77" t="s">
        <v>4612</v>
      </c>
      <c r="F1202" s="77" t="s">
        <v>4613</v>
      </c>
      <c r="G1202" s="77" t="s">
        <v>4615</v>
      </c>
      <c r="H1202" s="77" t="s">
        <v>4614</v>
      </c>
      <c r="I1202" s="77" t="s">
        <v>795</v>
      </c>
      <c r="J1202" s="90">
        <v>50</v>
      </c>
      <c r="K1202" s="91">
        <v>1</v>
      </c>
      <c r="L1202" s="77" t="s">
        <v>6566</v>
      </c>
      <c r="M1202" s="78">
        <v>905.74847999999997</v>
      </c>
      <c r="N1202" s="79">
        <v>33.792000000000002</v>
      </c>
      <c r="O1202" s="79">
        <v>107.57743000000001</v>
      </c>
      <c r="P1202" s="79">
        <v>11487.272730000001</v>
      </c>
      <c r="Q1202" s="77"/>
      <c r="R1202" s="77"/>
      <c r="S1202" s="77"/>
      <c r="T1202" s="77"/>
      <c r="U1202" s="77"/>
      <c r="V1202" s="87"/>
      <c r="W1202" s="87"/>
      <c r="X1202" s="87"/>
      <c r="Y1202" s="77"/>
      <c r="Z1202" s="88"/>
    </row>
    <row r="1203" spans="1:26" x14ac:dyDescent="0.25">
      <c r="A1203" s="68" t="str">
        <f t="shared" si="57"/>
        <v>526573</v>
      </c>
      <c r="B1203" s="10">
        <f t="shared" si="58"/>
        <v>248.93549999999999</v>
      </c>
      <c r="C1203" s="77" t="s">
        <v>5758</v>
      </c>
      <c r="D1203" s="191" t="str">
        <f t="shared" si="56"/>
        <v>V-StrongLumio silikon. ohebný profil 8x16mm pro LED pásky do 10W/m 10mm (406053)</v>
      </c>
      <c r="E1203" s="77" t="s">
        <v>4616</v>
      </c>
      <c r="F1203" s="77" t="s">
        <v>4617</v>
      </c>
      <c r="G1203" s="77" t="s">
        <v>4619</v>
      </c>
      <c r="H1203" s="77" t="s">
        <v>4618</v>
      </c>
      <c r="I1203" s="77" t="s">
        <v>992</v>
      </c>
      <c r="J1203" s="90">
        <v>5</v>
      </c>
      <c r="K1203" s="91">
        <v>1</v>
      </c>
      <c r="L1203" s="77" t="s">
        <v>6566</v>
      </c>
      <c r="M1203" s="78">
        <v>248.93549999999999</v>
      </c>
      <c r="N1203" s="79">
        <v>10.33845</v>
      </c>
      <c r="O1203" s="79">
        <v>28.09271</v>
      </c>
      <c r="P1203" s="79">
        <v>3475.2418899999998</v>
      </c>
      <c r="Q1203" s="77"/>
      <c r="R1203" s="77"/>
      <c r="S1203" s="77"/>
      <c r="T1203" s="77"/>
      <c r="U1203" s="77"/>
      <c r="V1203" s="87"/>
      <c r="W1203" s="87"/>
      <c r="X1203" s="87"/>
      <c r="Y1203" s="77"/>
      <c r="Z1203" s="88"/>
    </row>
    <row r="1204" spans="1:26" x14ac:dyDescent="0.25">
      <c r="A1204" s="68" t="str">
        <f t="shared" si="57"/>
        <v>557478</v>
      </c>
      <c r="B1204" s="10">
        <f t="shared" si="58"/>
        <v>732.38256000000001</v>
      </c>
      <c r="C1204" s="77" t="s">
        <v>6211</v>
      </c>
      <c r="D1204" s="191" t="str">
        <f t="shared" si="56"/>
        <v>V-StrongLumio spínací relé pro bezdrátové samonapájecí vypínače 230V (535067)</v>
      </c>
      <c r="E1204" s="77" t="s">
        <v>6212</v>
      </c>
      <c r="F1204" s="77" t="s">
        <v>6560</v>
      </c>
      <c r="G1204" s="77" t="s">
        <v>6562</v>
      </c>
      <c r="H1204" s="77" t="s">
        <v>6561</v>
      </c>
      <c r="I1204" s="77" t="s">
        <v>795</v>
      </c>
      <c r="J1204" s="90">
        <v>235</v>
      </c>
      <c r="K1204" s="91">
        <v>1</v>
      </c>
      <c r="L1204" s="77" t="s">
        <v>6566</v>
      </c>
      <c r="M1204" s="78">
        <v>732.38256000000001</v>
      </c>
      <c r="N1204" s="79">
        <v>25.898759999999999</v>
      </c>
      <c r="O1204" s="79">
        <v>0</v>
      </c>
      <c r="P1204" s="79">
        <v>0</v>
      </c>
      <c r="Q1204" s="77"/>
      <c r="R1204" s="77"/>
      <c r="S1204" s="77"/>
      <c r="T1204" s="77"/>
      <c r="U1204" s="77"/>
      <c r="V1204" s="87"/>
      <c r="W1204" s="87"/>
      <c r="X1204" s="87"/>
      <c r="Y1204" s="77"/>
      <c r="Z1204" s="88"/>
    </row>
    <row r="1205" spans="1:26" x14ac:dyDescent="0.25">
      <c r="A1205" s="68" t="str">
        <f t="shared" si="57"/>
        <v>529729</v>
      </c>
      <c r="B1205" s="10">
        <f t="shared" si="58"/>
        <v>7.6923000000000004</v>
      </c>
      <c r="C1205" s="77" t="s">
        <v>5759</v>
      </c>
      <c r="D1205" s="191" t="str">
        <f t="shared" si="56"/>
        <v>V-StrongLumio spojka univerzální LED pásek/dvojlinka 8mm (507813)</v>
      </c>
      <c r="E1205" s="77" t="s">
        <v>4620</v>
      </c>
      <c r="F1205" s="77" t="s">
        <v>4621</v>
      </c>
      <c r="G1205" s="77" t="s">
        <v>4623</v>
      </c>
      <c r="H1205" s="77" t="s">
        <v>4622</v>
      </c>
      <c r="I1205" s="77" t="s">
        <v>795</v>
      </c>
      <c r="J1205" s="90">
        <v>100</v>
      </c>
      <c r="K1205" s="91">
        <v>1</v>
      </c>
      <c r="L1205" s="77" t="s">
        <v>6566</v>
      </c>
      <c r="M1205" s="78">
        <v>7.6923000000000004</v>
      </c>
      <c r="N1205" s="79">
        <v>0.34987000000000001</v>
      </c>
      <c r="O1205" s="79">
        <v>1.2255100000000001</v>
      </c>
      <c r="P1205" s="79">
        <v>126.71899000000001</v>
      </c>
      <c r="Q1205" s="77"/>
      <c r="R1205" s="77"/>
      <c r="S1205" s="77"/>
      <c r="T1205" s="77"/>
      <c r="U1205" s="77"/>
      <c r="V1205" s="87"/>
      <c r="W1205" s="87"/>
      <c r="X1205" s="87"/>
      <c r="Y1205" s="77"/>
      <c r="Z1205" s="88"/>
    </row>
    <row r="1206" spans="1:26" x14ac:dyDescent="0.25">
      <c r="A1206" s="68" t="str">
        <f t="shared" si="57"/>
        <v>383365</v>
      </c>
      <c r="B1206" s="10">
        <f t="shared" si="58"/>
        <v>30.684190000000001</v>
      </c>
      <c r="C1206" s="77" t="s">
        <v>5760</v>
      </c>
      <c r="D1206" s="191" t="str">
        <f t="shared" si="56"/>
        <v>V-StrongLumio trojlinka kabel CCT plochý 3x0,35 (367822)</v>
      </c>
      <c r="E1206" s="77" t="s">
        <v>4624</v>
      </c>
      <c r="F1206" s="77" t="s">
        <v>794</v>
      </c>
      <c r="G1206" s="77" t="s">
        <v>794</v>
      </c>
      <c r="H1206" s="77" t="s">
        <v>4625</v>
      </c>
      <c r="I1206" s="77" t="s">
        <v>992</v>
      </c>
      <c r="J1206" s="90">
        <v>100</v>
      </c>
      <c r="K1206" s="91">
        <v>0.5</v>
      </c>
      <c r="L1206" s="77" t="s">
        <v>6566</v>
      </c>
      <c r="M1206" s="78">
        <v>30.684190000000001</v>
      </c>
      <c r="N1206" s="79">
        <v>1.3137000000000001</v>
      </c>
      <c r="O1206" s="79">
        <v>3.9998399999999998</v>
      </c>
      <c r="P1206" s="79">
        <v>452.97788000000003</v>
      </c>
      <c r="Q1206" s="77"/>
      <c r="R1206" s="77"/>
      <c r="S1206" s="77"/>
      <c r="T1206" s="77"/>
      <c r="U1206" s="77"/>
      <c r="V1206" s="87"/>
      <c r="W1206" s="87"/>
      <c r="X1206" s="87"/>
      <c r="Y1206" s="77"/>
      <c r="Z1206" s="88"/>
    </row>
    <row r="1207" spans="1:26" x14ac:dyDescent="0.25">
      <c r="A1207" s="68" t="str">
        <f t="shared" si="57"/>
        <v>221107</v>
      </c>
      <c r="B1207" s="10">
        <f t="shared" si="58"/>
        <v>20.793150000000001</v>
      </c>
      <c r="C1207" s="77" t="s">
        <v>5761</v>
      </c>
      <c r="D1207" s="191" t="str">
        <f t="shared" si="56"/>
        <v>V-StrongLumio úchyty pružinové pro LED profil (pár) (215054)</v>
      </c>
      <c r="E1207" s="77" t="s">
        <v>4626</v>
      </c>
      <c r="F1207" s="77" t="s">
        <v>4627</v>
      </c>
      <c r="G1207" s="77" t="s">
        <v>4629</v>
      </c>
      <c r="H1207" s="77" t="s">
        <v>4628</v>
      </c>
      <c r="I1207" s="77" t="s">
        <v>1463</v>
      </c>
      <c r="J1207" s="90">
        <v>100</v>
      </c>
      <c r="K1207" s="91">
        <v>0.5</v>
      </c>
      <c r="L1207" s="77" t="s">
        <v>6566</v>
      </c>
      <c r="M1207" s="78">
        <v>20.793150000000001</v>
      </c>
      <c r="N1207" s="79">
        <v>0.81967000000000001</v>
      </c>
      <c r="O1207" s="79">
        <v>2.25502</v>
      </c>
      <c r="P1207" s="79">
        <v>294.68749000000003</v>
      </c>
      <c r="Q1207" s="77"/>
      <c r="R1207" s="77"/>
      <c r="S1207" s="77"/>
      <c r="T1207" s="77"/>
      <c r="U1207" s="77"/>
      <c r="V1207" s="87"/>
      <c r="W1207" s="87"/>
      <c r="X1207" s="87"/>
      <c r="Y1207" s="77"/>
      <c r="Z1207" s="88"/>
    </row>
    <row r="1208" spans="1:26" x14ac:dyDescent="0.25">
      <c r="A1208" s="68" t="str">
        <f t="shared" si="57"/>
        <v>248694</v>
      </c>
      <c r="B1208" s="10">
        <f t="shared" si="58"/>
        <v>73.029600000000002</v>
      </c>
      <c r="C1208" s="77" t="s">
        <v>5762</v>
      </c>
      <c r="D1208" s="191" t="str">
        <f t="shared" si="56"/>
        <v>V-StrongLumio vklad do profilu LED Oval 2000mm (247572)</v>
      </c>
      <c r="E1208" s="77" t="s">
        <v>4630</v>
      </c>
      <c r="F1208" s="77" t="s">
        <v>4631</v>
      </c>
      <c r="G1208" s="77" t="s">
        <v>4633</v>
      </c>
      <c r="H1208" s="77" t="s">
        <v>4632</v>
      </c>
      <c r="I1208" s="77" t="s">
        <v>795</v>
      </c>
      <c r="J1208" s="90">
        <v>100</v>
      </c>
      <c r="K1208" s="91">
        <v>1</v>
      </c>
      <c r="L1208" s="77" t="s">
        <v>160</v>
      </c>
      <c r="M1208" s="78">
        <v>73.029600000000002</v>
      </c>
      <c r="N1208" s="79">
        <v>2.8224</v>
      </c>
      <c r="O1208" s="79">
        <v>8.5565300000000004</v>
      </c>
      <c r="P1208" s="79">
        <v>1023.96</v>
      </c>
      <c r="Q1208" s="77"/>
      <c r="R1208" s="77"/>
      <c r="S1208" s="77"/>
      <c r="T1208" s="77"/>
      <c r="U1208" s="77"/>
      <c r="V1208" s="87"/>
      <c r="W1208" s="87"/>
      <c r="X1208" s="87"/>
      <c r="Y1208" s="77"/>
      <c r="Z1208" s="88"/>
    </row>
    <row r="1209" spans="1:26" x14ac:dyDescent="0.25">
      <c r="A1209" s="68" t="str">
        <f t="shared" si="57"/>
        <v>208168</v>
      </c>
      <c r="B1209" s="10">
        <f t="shared" si="58"/>
        <v>16.2393</v>
      </c>
      <c r="C1209" s="77" t="s">
        <v>5763</v>
      </c>
      <c r="D1209" s="191" t="str">
        <f t="shared" si="56"/>
        <v>V-StrongLumio vypínač kolébkový R13 230V 4A bílý (SAL341)</v>
      </c>
      <c r="E1209" s="77" t="s">
        <v>4634</v>
      </c>
      <c r="F1209" s="77" t="s">
        <v>4635</v>
      </c>
      <c r="G1209" s="77" t="s">
        <v>4637</v>
      </c>
      <c r="H1209" s="77" t="s">
        <v>4636</v>
      </c>
      <c r="I1209" s="77" t="s">
        <v>795</v>
      </c>
      <c r="J1209" s="90">
        <v>1</v>
      </c>
      <c r="K1209" s="91">
        <v>1</v>
      </c>
      <c r="L1209" s="77" t="s">
        <v>6566</v>
      </c>
      <c r="M1209" s="78">
        <v>16.2393</v>
      </c>
      <c r="N1209" s="79">
        <v>0.73855999999999999</v>
      </c>
      <c r="O1209" s="79">
        <v>1.9543699999999999</v>
      </c>
      <c r="P1209" s="79">
        <v>267.51783999999998</v>
      </c>
      <c r="Q1209" s="77"/>
      <c r="R1209" s="77"/>
      <c r="S1209" s="77"/>
      <c r="T1209" s="77"/>
      <c r="U1209" s="77"/>
      <c r="V1209" s="87"/>
      <c r="W1209" s="87"/>
      <c r="X1209" s="87"/>
      <c r="Y1209" s="77"/>
      <c r="Z1209" s="88"/>
    </row>
    <row r="1210" spans="1:26" x14ac:dyDescent="0.25">
      <c r="A1210" s="68" t="str">
        <f t="shared" si="57"/>
        <v>208169</v>
      </c>
      <c r="B1210" s="10">
        <f t="shared" si="58"/>
        <v>14.5299</v>
      </c>
      <c r="C1210" s="77" t="s">
        <v>5764</v>
      </c>
      <c r="D1210" s="191" t="str">
        <f t="shared" si="56"/>
        <v>V-StrongLumio vypínač kolébkový R13 230V 4A černý (SAL342)</v>
      </c>
      <c r="E1210" s="77" t="s">
        <v>4638</v>
      </c>
      <c r="F1210" s="77" t="s">
        <v>4639</v>
      </c>
      <c r="G1210" s="77" t="s">
        <v>4641</v>
      </c>
      <c r="H1210" s="77" t="s">
        <v>4640</v>
      </c>
      <c r="I1210" s="77" t="s">
        <v>795</v>
      </c>
      <c r="J1210" s="90">
        <v>1</v>
      </c>
      <c r="K1210" s="91">
        <v>1</v>
      </c>
      <c r="L1210" s="77" t="s">
        <v>6566</v>
      </c>
      <c r="M1210" s="78">
        <v>14.5299</v>
      </c>
      <c r="N1210" s="79">
        <v>0.66081999999999996</v>
      </c>
      <c r="O1210" s="79">
        <v>2.1556899999999999</v>
      </c>
      <c r="P1210" s="79">
        <v>239.35807</v>
      </c>
      <c r="Q1210" s="77"/>
      <c r="R1210" s="77"/>
      <c r="S1210" s="77"/>
      <c r="T1210" s="77"/>
      <c r="U1210" s="77"/>
      <c r="V1210" s="87"/>
      <c r="W1210" s="87"/>
      <c r="X1210" s="87"/>
      <c r="Y1210" s="77"/>
      <c r="Z1210" s="88"/>
    </row>
    <row r="1211" spans="1:26" x14ac:dyDescent="0.25">
      <c r="A1211" s="68" t="str">
        <f t="shared" si="57"/>
        <v>208170</v>
      </c>
      <c r="B1211" s="10">
        <f t="shared" si="58"/>
        <v>26.138110000000001</v>
      </c>
      <c r="C1211" s="77" t="s">
        <v>5765</v>
      </c>
      <c r="D1211" s="191" t="str">
        <f t="shared" si="56"/>
        <v>V-StrongLumio vypínač kolébkový R13 230V 4A hnědý (SAL344)</v>
      </c>
      <c r="E1211" s="77" t="s">
        <v>4642</v>
      </c>
      <c r="F1211" s="77" t="s">
        <v>4643</v>
      </c>
      <c r="G1211" s="77" t="s">
        <v>4645</v>
      </c>
      <c r="H1211" s="77" t="s">
        <v>4644</v>
      </c>
      <c r="I1211" s="77" t="s">
        <v>795</v>
      </c>
      <c r="J1211" s="90">
        <v>1</v>
      </c>
      <c r="K1211" s="91">
        <v>1</v>
      </c>
      <c r="L1211" s="77" t="s">
        <v>6566</v>
      </c>
      <c r="M1211" s="78">
        <v>26.138110000000001</v>
      </c>
      <c r="N1211" s="79">
        <v>1.1190599999999999</v>
      </c>
      <c r="O1211" s="79">
        <v>1.8148599999999999</v>
      </c>
      <c r="P1211" s="79">
        <v>377.22528</v>
      </c>
      <c r="Q1211" s="77"/>
      <c r="R1211" s="77"/>
      <c r="S1211" s="77"/>
      <c r="T1211" s="77"/>
      <c r="U1211" s="77"/>
      <c r="V1211" s="87"/>
      <c r="W1211" s="87"/>
      <c r="X1211" s="87"/>
      <c r="Y1211" s="77"/>
      <c r="Z1211" s="88"/>
    </row>
    <row r="1212" spans="1:26" x14ac:dyDescent="0.25">
      <c r="A1212" s="68" t="str">
        <f t="shared" si="57"/>
        <v>208171</v>
      </c>
      <c r="B1212" s="10">
        <f t="shared" si="58"/>
        <v>26.138110000000001</v>
      </c>
      <c r="C1212" s="77" t="s">
        <v>5766</v>
      </c>
      <c r="D1212" s="191" t="str">
        <f t="shared" si="56"/>
        <v>V-StrongLumio vypínač kolébkový R13 230V 4A šedý (SAL343)</v>
      </c>
      <c r="E1212" s="77" t="s">
        <v>4646</v>
      </c>
      <c r="F1212" s="77" t="s">
        <v>4647</v>
      </c>
      <c r="G1212" s="77" t="s">
        <v>4649</v>
      </c>
      <c r="H1212" s="77" t="s">
        <v>4648</v>
      </c>
      <c r="I1212" s="77" t="s">
        <v>795</v>
      </c>
      <c r="J1212" s="90">
        <v>1</v>
      </c>
      <c r="K1212" s="91">
        <v>1</v>
      </c>
      <c r="L1212" s="77" t="s">
        <v>6566</v>
      </c>
      <c r="M1212" s="78">
        <v>26.138110000000001</v>
      </c>
      <c r="N1212" s="79">
        <v>1.1190599999999999</v>
      </c>
      <c r="O1212" s="79">
        <v>1.5026600000000001</v>
      </c>
      <c r="P1212" s="79">
        <v>377.22528</v>
      </c>
      <c r="Q1212" s="77"/>
      <c r="R1212" s="77"/>
      <c r="S1212" s="77"/>
      <c r="T1212" s="77"/>
      <c r="U1212" s="77"/>
      <c r="V1212" s="87"/>
      <c r="W1212" s="87"/>
      <c r="X1212" s="87"/>
      <c r="Y1212" s="77"/>
      <c r="Z1212" s="88"/>
    </row>
    <row r="1213" spans="1:26" x14ac:dyDescent="0.25">
      <c r="A1213" s="68" t="str">
        <f t="shared" si="57"/>
        <v>372735</v>
      </c>
      <c r="B1213" s="10">
        <f t="shared" si="58"/>
        <v>286.3245</v>
      </c>
      <c r="C1213" s="77" t="s">
        <v>5767</v>
      </c>
      <c r="D1213" s="191" t="str">
        <f t="shared" si="56"/>
        <v>V-StrongLumio vypínač/dveřní senzor pro max. 3 čidla 12-24V 8A (342518)</v>
      </c>
      <c r="E1213" s="77" t="s">
        <v>4650</v>
      </c>
      <c r="F1213" s="77" t="s">
        <v>4651</v>
      </c>
      <c r="G1213" s="77" t="s">
        <v>4653</v>
      </c>
      <c r="H1213" s="77" t="s">
        <v>4652</v>
      </c>
      <c r="I1213" s="77" t="s">
        <v>795</v>
      </c>
      <c r="J1213" s="90">
        <v>1</v>
      </c>
      <c r="K1213" s="91">
        <v>1</v>
      </c>
      <c r="L1213" s="77" t="s">
        <v>6566</v>
      </c>
      <c r="M1213" s="78">
        <v>286.3245</v>
      </c>
      <c r="N1213" s="79">
        <v>13.02234</v>
      </c>
      <c r="O1213" s="79">
        <v>44.868690000000001</v>
      </c>
      <c r="P1213" s="79">
        <v>5265.8774999999996</v>
      </c>
      <c r="Q1213" s="77"/>
      <c r="R1213" s="77"/>
      <c r="S1213" s="77"/>
      <c r="T1213" s="77"/>
      <c r="U1213" s="77"/>
      <c r="V1213" s="87"/>
      <c r="W1213" s="87"/>
      <c r="X1213" s="87"/>
      <c r="Y1213" s="77"/>
      <c r="Z1213" s="88"/>
    </row>
    <row r="1214" spans="1:26" x14ac:dyDescent="0.25">
      <c r="A1214" s="68" t="str">
        <f t="shared" si="57"/>
        <v>365504</v>
      </c>
      <c r="B1214" s="10">
        <f t="shared" si="58"/>
        <v>256.41000000000003</v>
      </c>
      <c r="C1214" s="77" t="s">
        <v>5768</v>
      </c>
      <c r="D1214" s="191" t="str">
        <f t="shared" si="56"/>
        <v>V-StrongLumio vypínač/stmívač 12-24V 4A bílý konektory Mini (342517)</v>
      </c>
      <c r="E1214" s="77" t="s">
        <v>4654</v>
      </c>
      <c r="F1214" s="77" t="s">
        <v>4655</v>
      </c>
      <c r="G1214" s="77" t="s">
        <v>4657</v>
      </c>
      <c r="H1214" s="77" t="s">
        <v>4656</v>
      </c>
      <c r="I1214" s="77" t="s">
        <v>795</v>
      </c>
      <c r="J1214" s="90">
        <v>1</v>
      </c>
      <c r="K1214" s="91">
        <v>1</v>
      </c>
      <c r="L1214" s="77" t="s">
        <v>6566</v>
      </c>
      <c r="M1214" s="78">
        <v>256.41000000000003</v>
      </c>
      <c r="N1214" s="79">
        <v>11.661809999999999</v>
      </c>
      <c r="O1214" s="79">
        <v>42.066049999999997</v>
      </c>
      <c r="P1214" s="79">
        <v>4787.1613500000003</v>
      </c>
      <c r="Q1214" s="77"/>
      <c r="R1214" s="77"/>
      <c r="S1214" s="77"/>
      <c r="T1214" s="77"/>
      <c r="U1214" s="77"/>
      <c r="V1214" s="87"/>
      <c r="W1214" s="87"/>
      <c r="X1214" s="87"/>
      <c r="Y1214" s="77"/>
      <c r="Z1214" s="88"/>
    </row>
    <row r="1215" spans="1:26" x14ac:dyDescent="0.25">
      <c r="A1215" s="68" t="str">
        <f t="shared" si="57"/>
        <v>367411</v>
      </c>
      <c r="B1215" s="10">
        <f t="shared" si="58"/>
        <v>256.41000000000003</v>
      </c>
      <c r="C1215" s="77" t="s">
        <v>5769</v>
      </c>
      <c r="D1215" s="191" t="str">
        <f t="shared" si="56"/>
        <v>V-StrongLumio vypínač/stmívač 12-24V 4A černý konektory Mini (342516)</v>
      </c>
      <c r="E1215" s="77" t="s">
        <v>4658</v>
      </c>
      <c r="F1215" s="77" t="s">
        <v>4323</v>
      </c>
      <c r="G1215" s="77" t="s">
        <v>4325</v>
      </c>
      <c r="H1215" s="77" t="s">
        <v>4659</v>
      </c>
      <c r="I1215" s="77" t="s">
        <v>795</v>
      </c>
      <c r="J1215" s="90">
        <v>1</v>
      </c>
      <c r="K1215" s="91">
        <v>1</v>
      </c>
      <c r="L1215" s="77" t="s">
        <v>6566</v>
      </c>
      <c r="M1215" s="78">
        <v>256.41000000000003</v>
      </c>
      <c r="N1215" s="79">
        <v>11.661809999999999</v>
      </c>
      <c r="O1215" s="79">
        <v>44.21472</v>
      </c>
      <c r="P1215" s="79">
        <v>4787.1613500000003</v>
      </c>
      <c r="Q1215" s="77"/>
      <c r="R1215" s="77"/>
      <c r="S1215" s="77"/>
      <c r="T1215" s="77"/>
      <c r="U1215" s="77"/>
      <c r="V1215" s="87"/>
      <c r="W1215" s="87"/>
      <c r="X1215" s="87"/>
      <c r="Y1215" s="77"/>
      <c r="Z1215" s="88"/>
    </row>
    <row r="1216" spans="1:26" x14ac:dyDescent="0.25">
      <c r="A1216" s="68" t="str">
        <f t="shared" si="57"/>
        <v>465039</v>
      </c>
      <c r="B1216" s="10">
        <f t="shared" si="58"/>
        <v>286.3245</v>
      </c>
      <c r="C1216" s="77" t="s">
        <v>5770</v>
      </c>
      <c r="D1216" s="191" t="str">
        <f t="shared" si="56"/>
        <v>V-StrongLumio vypínač/stmívač 12-24V 4A stříbrný konektory Mini (405197)</v>
      </c>
      <c r="E1216" s="77" t="s">
        <v>4660</v>
      </c>
      <c r="F1216" s="77" t="s">
        <v>4323</v>
      </c>
      <c r="G1216" s="77" t="s">
        <v>4325</v>
      </c>
      <c r="H1216" s="77" t="s">
        <v>4659</v>
      </c>
      <c r="I1216" s="77" t="s">
        <v>795</v>
      </c>
      <c r="J1216" s="90">
        <v>1</v>
      </c>
      <c r="K1216" s="91">
        <v>1</v>
      </c>
      <c r="L1216" s="77" t="s">
        <v>6566</v>
      </c>
      <c r="M1216" s="78">
        <v>286.3245</v>
      </c>
      <c r="N1216" s="79">
        <v>13.02234</v>
      </c>
      <c r="O1216" s="79">
        <v>51.54081</v>
      </c>
      <c r="P1216" s="79">
        <v>4998.3596600000001</v>
      </c>
      <c r="Q1216" s="77"/>
      <c r="R1216" s="77"/>
      <c r="S1216" s="77"/>
      <c r="T1216" s="77"/>
      <c r="U1216" s="77"/>
      <c r="V1216" s="87"/>
      <c r="W1216" s="87"/>
      <c r="X1216" s="87"/>
      <c r="Y1216" s="77"/>
      <c r="Z1216" s="88"/>
    </row>
    <row r="1217" spans="1:26" x14ac:dyDescent="0.25">
      <c r="A1217" s="68" t="str">
        <f t="shared" si="57"/>
        <v>462135</v>
      </c>
      <c r="B1217" s="10">
        <f t="shared" si="58"/>
        <v>139.0095</v>
      </c>
      <c r="C1217" s="77" t="s">
        <v>5771</v>
      </c>
      <c r="D1217" s="191" t="str">
        <f t="shared" si="56"/>
        <v>V-TL-LED pásek ohebný Z300 6,2W/m 12V neutrální bílá (462130)</v>
      </c>
      <c r="E1217" s="77" t="s">
        <v>4661</v>
      </c>
      <c r="F1217" s="77" t="s">
        <v>794</v>
      </c>
      <c r="G1217" s="77" t="s">
        <v>794</v>
      </c>
      <c r="H1217" s="77" t="s">
        <v>794</v>
      </c>
      <c r="I1217" s="77" t="s">
        <v>992</v>
      </c>
      <c r="J1217" s="90">
        <v>5</v>
      </c>
      <c r="K1217" s="91">
        <v>1</v>
      </c>
      <c r="L1217" s="77" t="s">
        <v>6566</v>
      </c>
      <c r="M1217" s="78">
        <v>139.0095</v>
      </c>
      <c r="N1217" s="79">
        <v>5.9008000000000003</v>
      </c>
      <c r="O1217" s="79">
        <v>18.478860000000001</v>
      </c>
      <c r="P1217" s="79">
        <v>2106.2045499999999</v>
      </c>
      <c r="Q1217" s="77"/>
      <c r="R1217" s="77"/>
      <c r="S1217" s="77"/>
      <c r="T1217" s="77"/>
      <c r="U1217" s="77"/>
      <c r="V1217" s="87"/>
      <c r="W1217" s="87"/>
      <c r="X1217" s="87"/>
      <c r="Y1217" s="77"/>
      <c r="Z1217" s="88"/>
    </row>
    <row r="1218" spans="1:26" x14ac:dyDescent="0.25">
      <c r="A1218" s="68" t="str">
        <f t="shared" si="57"/>
        <v>383241</v>
      </c>
      <c r="B1218" s="10">
        <f t="shared" si="58"/>
        <v>1421.40507</v>
      </c>
      <c r="C1218" s="77" t="s">
        <v>5772</v>
      </c>
      <c r="D1218" s="191" t="str">
        <f t="shared" si="56"/>
        <v>V-TL-napájecí zdroj pro LED 12V 150W IP67 (383240)</v>
      </c>
      <c r="E1218" s="77" t="s">
        <v>4662</v>
      </c>
      <c r="F1218" s="77" t="s">
        <v>4663</v>
      </c>
      <c r="G1218" s="77" t="s">
        <v>4665</v>
      </c>
      <c r="H1218" s="77" t="s">
        <v>4664</v>
      </c>
      <c r="I1218" s="77" t="s">
        <v>795</v>
      </c>
      <c r="J1218" s="90">
        <v>1</v>
      </c>
      <c r="K1218" s="91">
        <v>1</v>
      </c>
      <c r="L1218" s="77" t="s">
        <v>160</v>
      </c>
      <c r="M1218" s="78">
        <v>1421.40507</v>
      </c>
      <c r="N1218" s="79">
        <v>60.337200000000003</v>
      </c>
      <c r="O1218" s="79">
        <v>287.66520000000003</v>
      </c>
      <c r="P1218" s="79">
        <v>21536.440460000002</v>
      </c>
      <c r="Q1218" s="77"/>
      <c r="R1218" s="77"/>
      <c r="S1218" s="77"/>
      <c r="T1218" s="77"/>
      <c r="U1218" s="77"/>
      <c r="V1218" s="87"/>
      <c r="W1218" s="87"/>
      <c r="X1218" s="87"/>
      <c r="Y1218" s="77"/>
      <c r="Z1218" s="88"/>
    </row>
    <row r="1219" spans="1:26" x14ac:dyDescent="0.25">
      <c r="A1219" s="68" t="str">
        <f t="shared" si="57"/>
        <v>478172</v>
      </c>
      <c r="B1219" s="10">
        <f t="shared" si="58"/>
        <v>467.03318999999999</v>
      </c>
      <c r="C1219" s="77" t="s">
        <v>5773</v>
      </c>
      <c r="D1219" s="191" t="str">
        <f t="shared" ref="D1219:D1226" si="59">IF($B$1=1,E1219,IF($B$1=2,F1219,IF($B$1=3,G1219,IF($B$1=4,H1219))))</f>
        <v>V-TL-přijímač dimLED PR 1KRF (359919)</v>
      </c>
      <c r="E1219" s="77" t="s">
        <v>4666</v>
      </c>
      <c r="F1219" s="77" t="s">
        <v>4667</v>
      </c>
      <c r="G1219" s="77" t="s">
        <v>4669</v>
      </c>
      <c r="H1219" s="77" t="s">
        <v>4668</v>
      </c>
      <c r="I1219" s="77" t="s">
        <v>795</v>
      </c>
      <c r="J1219" s="90">
        <v>1</v>
      </c>
      <c r="K1219" s="91">
        <v>1</v>
      </c>
      <c r="L1219" s="77" t="s">
        <v>6566</v>
      </c>
      <c r="M1219" s="78">
        <v>467.03318999999999</v>
      </c>
      <c r="N1219" s="79">
        <v>19.825060000000001</v>
      </c>
      <c r="O1219" s="79">
        <v>75.207999999999998</v>
      </c>
      <c r="P1219" s="79">
        <v>7076.2604600000004</v>
      </c>
      <c r="Q1219" s="77"/>
      <c r="R1219" s="77"/>
      <c r="S1219" s="77"/>
      <c r="T1219" s="77"/>
      <c r="U1219" s="77"/>
      <c r="V1219" s="87"/>
      <c r="W1219" s="87"/>
      <c r="X1219" s="87"/>
      <c r="Y1219" s="77"/>
      <c r="Z1219" s="88"/>
    </row>
    <row r="1220" spans="1:26" x14ac:dyDescent="0.25">
      <c r="A1220" s="68" t="str">
        <f t="shared" si="57"/>
        <v>316056</v>
      </c>
      <c r="B1220" s="10">
        <f t="shared" si="58"/>
        <v>26.88</v>
      </c>
      <c r="C1220" s="77" t="s">
        <v>5774</v>
      </c>
      <c r="D1220" s="191" t="str">
        <f t="shared" si="59"/>
        <v>V-Wago svorka 2x2,5mm (316055)</v>
      </c>
      <c r="E1220" s="77" t="s">
        <v>4670</v>
      </c>
      <c r="F1220" s="77" t="s">
        <v>4670</v>
      </c>
      <c r="G1220" s="77" t="s">
        <v>4672</v>
      </c>
      <c r="H1220" s="77" t="s">
        <v>4671</v>
      </c>
      <c r="I1220" s="77" t="s">
        <v>795</v>
      </c>
      <c r="J1220" s="90">
        <v>100</v>
      </c>
      <c r="K1220" s="91">
        <v>1</v>
      </c>
      <c r="L1220" s="77" t="s">
        <v>6566</v>
      </c>
      <c r="M1220" s="78">
        <v>26.88</v>
      </c>
      <c r="N1220" s="79">
        <v>1.15083</v>
      </c>
      <c r="O1220" s="79">
        <v>2.4340700000000002</v>
      </c>
      <c r="P1220" s="79">
        <v>396.81819000000002</v>
      </c>
      <c r="Q1220" s="77"/>
      <c r="R1220" s="77"/>
      <c r="S1220" s="77"/>
      <c r="T1220" s="77"/>
      <c r="U1220" s="77"/>
      <c r="V1220" s="87"/>
      <c r="W1220" s="87"/>
      <c r="X1220" s="87"/>
      <c r="Y1220" s="77"/>
      <c r="Z1220" s="88"/>
    </row>
    <row r="1221" spans="1:26" x14ac:dyDescent="0.25">
      <c r="A1221" s="68" t="str">
        <f t="shared" si="57"/>
        <v>521852</v>
      </c>
      <c r="B1221" s="10">
        <f t="shared" si="58"/>
        <v>21.604800000000001</v>
      </c>
      <c r="C1221" s="77" t="s">
        <v>5775</v>
      </c>
      <c r="D1221" s="191" t="str">
        <f t="shared" si="59"/>
        <v>V-Wago svorka 3x2,5mm (507264)</v>
      </c>
      <c r="E1221" s="77" t="s">
        <v>4673</v>
      </c>
      <c r="F1221" s="77" t="s">
        <v>4673</v>
      </c>
      <c r="G1221" s="77" t="s">
        <v>4675</v>
      </c>
      <c r="H1221" s="77" t="s">
        <v>4674</v>
      </c>
      <c r="I1221" s="77" t="s">
        <v>795</v>
      </c>
      <c r="J1221" s="90">
        <v>50</v>
      </c>
      <c r="K1221" s="91">
        <v>1</v>
      </c>
      <c r="L1221" s="77" t="s">
        <v>6566</v>
      </c>
      <c r="M1221" s="78">
        <v>21.604800000000001</v>
      </c>
      <c r="N1221" s="79">
        <v>0.92498999999999998</v>
      </c>
      <c r="O1221" s="79">
        <v>3.0508799999999998</v>
      </c>
      <c r="P1221" s="79">
        <v>318.94261</v>
      </c>
      <c r="Q1221" s="77"/>
      <c r="R1221" s="77"/>
      <c r="S1221" s="77"/>
      <c r="T1221" s="77"/>
      <c r="U1221" s="77"/>
      <c r="V1221" s="87"/>
      <c r="W1221" s="87"/>
      <c r="X1221" s="87"/>
      <c r="Y1221" s="77"/>
      <c r="Z1221" s="88"/>
    </row>
    <row r="1222" spans="1:26" x14ac:dyDescent="0.25">
      <c r="A1222" s="68" t="str">
        <f t="shared" si="57"/>
        <v>523404</v>
      </c>
      <c r="B1222" s="10">
        <f t="shared" si="58"/>
        <v>5335.05375</v>
      </c>
      <c r="C1222" s="77" t="s">
        <v>5776</v>
      </c>
      <c r="D1222" s="191" t="str">
        <f t="shared" si="59"/>
        <v>Vyhřívané zrcadlo Rimini 800 x 1300mm černý elox</v>
      </c>
      <c r="E1222" s="77" t="s">
        <v>4676</v>
      </c>
      <c r="F1222" s="77" t="s">
        <v>794</v>
      </c>
      <c r="G1222" s="77" t="s">
        <v>794</v>
      </c>
      <c r="H1222" s="77" t="s">
        <v>794</v>
      </c>
      <c r="I1222" s="77" t="s">
        <v>795</v>
      </c>
      <c r="J1222" s="90">
        <v>1</v>
      </c>
      <c r="K1222" s="91">
        <v>1</v>
      </c>
      <c r="L1222" s="77" t="s">
        <v>6565</v>
      </c>
      <c r="M1222" s="78">
        <v>5335.05375</v>
      </c>
      <c r="N1222" s="79">
        <v>239.48938000000001</v>
      </c>
      <c r="O1222" s="79">
        <v>875.14580999999998</v>
      </c>
      <c r="P1222" s="79">
        <v>86608.015429999999</v>
      </c>
      <c r="Q1222" s="77"/>
      <c r="R1222" s="77"/>
      <c r="S1222" s="77"/>
      <c r="T1222" s="77"/>
      <c r="U1222" s="77"/>
      <c r="V1222" s="87"/>
      <c r="W1222" s="87"/>
      <c r="X1222" s="87"/>
      <c r="Y1222" s="77"/>
      <c r="Z1222" s="88"/>
    </row>
    <row r="1223" spans="1:26" x14ac:dyDescent="0.25">
      <c r="A1223" s="68" t="str">
        <f t="shared" si="57"/>
        <v>316055</v>
      </c>
      <c r="B1223" s="10">
        <f t="shared" si="58"/>
        <v>17.236799999999999</v>
      </c>
      <c r="C1223" s="77" t="s">
        <v>5777</v>
      </c>
      <c r="D1223" s="191" t="str">
        <f t="shared" si="59"/>
        <v>Wago svorka 2x2,5mm</v>
      </c>
      <c r="E1223" s="77" t="s">
        <v>4677</v>
      </c>
      <c r="F1223" s="77" t="s">
        <v>4677</v>
      </c>
      <c r="G1223" s="77" t="s">
        <v>4679</v>
      </c>
      <c r="H1223" s="77" t="s">
        <v>4678</v>
      </c>
      <c r="I1223" s="77" t="s">
        <v>795</v>
      </c>
      <c r="J1223" s="90">
        <v>100</v>
      </c>
      <c r="K1223" s="91">
        <v>1</v>
      </c>
      <c r="L1223" s="77" t="s">
        <v>227</v>
      </c>
      <c r="M1223" s="78">
        <v>17.236799999999999</v>
      </c>
      <c r="N1223" s="79">
        <v>0.72167999999999999</v>
      </c>
      <c r="O1223" s="79">
        <v>2.4277899999999999</v>
      </c>
      <c r="P1223" s="79">
        <v>254.45965000000001</v>
      </c>
      <c r="Q1223" s="77"/>
      <c r="R1223" s="77"/>
      <c r="S1223" s="77"/>
      <c r="T1223" s="77"/>
      <c r="U1223" s="77"/>
      <c r="V1223" s="87"/>
      <c r="W1223" s="87"/>
      <c r="X1223" s="87"/>
      <c r="Y1223" s="77"/>
      <c r="Z1223" s="88"/>
    </row>
    <row r="1224" spans="1:26" x14ac:dyDescent="0.25">
      <c r="A1224" s="68" t="str">
        <f t="shared" si="57"/>
        <v>507264</v>
      </c>
      <c r="B1224" s="10">
        <f t="shared" si="58"/>
        <v>21.604800000000001</v>
      </c>
      <c r="C1224" s="77" t="s">
        <v>5778</v>
      </c>
      <c r="D1224" s="191" t="str">
        <f t="shared" si="59"/>
        <v>Wago svorka 3x2,5mm</v>
      </c>
      <c r="E1224" s="77" t="s">
        <v>4680</v>
      </c>
      <c r="F1224" s="77" t="s">
        <v>4680</v>
      </c>
      <c r="G1224" s="77" t="s">
        <v>4682</v>
      </c>
      <c r="H1224" s="77" t="s">
        <v>4681</v>
      </c>
      <c r="I1224" s="77" t="s">
        <v>795</v>
      </c>
      <c r="J1224" s="90">
        <v>50</v>
      </c>
      <c r="K1224" s="91">
        <v>1</v>
      </c>
      <c r="L1224" s="77" t="s">
        <v>227</v>
      </c>
      <c r="M1224" s="78">
        <v>21.604800000000001</v>
      </c>
      <c r="N1224" s="79">
        <v>0.90459000000000001</v>
      </c>
      <c r="O1224" s="79">
        <v>3.0508799999999998</v>
      </c>
      <c r="P1224" s="79">
        <v>318.94261</v>
      </c>
      <c r="Q1224" s="77"/>
      <c r="R1224" s="77"/>
      <c r="S1224" s="77"/>
      <c r="T1224" s="77"/>
      <c r="U1224" s="77"/>
      <c r="V1224" s="87"/>
      <c r="W1224" s="87"/>
      <c r="X1224" s="87"/>
      <c r="Y1224" s="77"/>
      <c r="Z1224" s="88"/>
    </row>
    <row r="1225" spans="1:26" x14ac:dyDescent="0.25">
      <c r="A1225" s="68" t="str">
        <f t="shared" si="57"/>
        <v>546668</v>
      </c>
      <c r="B1225" s="10">
        <f t="shared" si="58"/>
        <v>36.802750000000003</v>
      </c>
      <c r="C1225" s="77" t="s">
        <v>5779</v>
      </c>
      <c r="D1225" s="191" t="str">
        <f t="shared" si="59"/>
        <v>Wago svorka páčková 5x2,5mm</v>
      </c>
      <c r="E1225" s="77" t="s">
        <v>4683</v>
      </c>
      <c r="F1225" s="77" t="s">
        <v>4683</v>
      </c>
      <c r="G1225" s="77" t="s">
        <v>4685</v>
      </c>
      <c r="H1225" s="77" t="s">
        <v>4684</v>
      </c>
      <c r="I1225" s="77" t="s">
        <v>795</v>
      </c>
      <c r="J1225" s="90">
        <v>25</v>
      </c>
      <c r="K1225" s="91">
        <v>25</v>
      </c>
      <c r="L1225" s="77" t="s">
        <v>6565</v>
      </c>
      <c r="M1225" s="78">
        <v>36.802750000000003</v>
      </c>
      <c r="N1225" s="79">
        <v>1.56921</v>
      </c>
      <c r="O1225" s="79">
        <v>5.4568700000000003</v>
      </c>
      <c r="P1225" s="79">
        <v>543.30361000000005</v>
      </c>
      <c r="Q1225" s="77"/>
      <c r="R1225" s="77"/>
      <c r="S1225" s="77"/>
      <c r="T1225" s="77"/>
      <c r="U1225" s="77"/>
      <c r="V1225" s="87"/>
      <c r="W1225" s="87"/>
      <c r="X1225" s="87"/>
      <c r="Y1225" s="77"/>
      <c r="Z1225" s="88"/>
    </row>
    <row r="1226" spans="1:26" x14ac:dyDescent="0.25">
      <c r="A1226" s="68" t="str">
        <f t="shared" ref="A1226" si="60">C1226</f>
        <v>559333</v>
      </c>
      <c r="B1226" s="10">
        <f t="shared" ref="B1226" si="61">IF($B$1=1,M1226,IF($B$1=2,N1226,IF($B$1=3,O1226,IF($B$1=4,P1226))))</f>
        <v>17.243099999999998</v>
      </c>
      <c r="C1226" s="77" t="s">
        <v>6954</v>
      </c>
      <c r="D1226" s="191" t="str">
        <f t="shared" si="59"/>
        <v>V-StrongLumio koncovky k profilu Begton 12 oblá, bílá (pár) (405278)</v>
      </c>
      <c r="E1226" s="77" t="s">
        <v>6955</v>
      </c>
      <c r="F1226" s="77" t="s">
        <v>6956</v>
      </c>
      <c r="G1226" s="77" t="s">
        <v>6957</v>
      </c>
      <c r="H1226" s="77" t="s">
        <v>6958</v>
      </c>
      <c r="I1226" s="77" t="s">
        <v>795</v>
      </c>
      <c r="J1226" s="90">
        <v>1</v>
      </c>
      <c r="K1226" s="91">
        <v>1</v>
      </c>
      <c r="L1226" s="77" t="s">
        <v>6565</v>
      </c>
      <c r="M1226" s="78">
        <v>17.243099999999998</v>
      </c>
      <c r="N1226" s="79">
        <v>0.67972999999999995</v>
      </c>
      <c r="O1226" s="79">
        <v>1.74779</v>
      </c>
      <c r="P1226" s="79">
        <v>244.37501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61E4-3B6F-444C-A0EF-93C79EB07085}">
  <sheetPr codeName="List12"/>
  <dimension ref="A2:E424"/>
  <sheetViews>
    <sheetView topLeftCell="A408" workbookViewId="0">
      <selection activeCell="A423" sqref="A423"/>
    </sheetView>
  </sheetViews>
  <sheetFormatPr defaultRowHeight="15" x14ac:dyDescent="0.25"/>
  <cols>
    <col min="2" max="2" width="69.5703125" bestFit="1" customWidth="1"/>
    <col min="4" max="4" width="73.7109375" bestFit="1" customWidth="1"/>
  </cols>
  <sheetData>
    <row r="2" spans="1:5" x14ac:dyDescent="0.25">
      <c r="A2" s="118" t="s">
        <v>783</v>
      </c>
      <c r="B2" s="118" t="s">
        <v>784</v>
      </c>
      <c r="C2" s="119" t="s">
        <v>783</v>
      </c>
      <c r="D2" s="118" t="s">
        <v>784</v>
      </c>
      <c r="E2" s="29" t="s">
        <v>5850</v>
      </c>
    </row>
    <row r="3" spans="1:5" x14ac:dyDescent="0.25">
      <c r="A3" s="120" t="s">
        <v>5437</v>
      </c>
      <c r="B3" s="118" t="s">
        <v>5851</v>
      </c>
      <c r="C3" s="120" t="s">
        <v>6335</v>
      </c>
      <c r="D3" s="118" t="e">
        <f>VLOOKUP(C3,'1066'!$C$2:$D$1500,2,0)</f>
        <v>#N/A</v>
      </c>
      <c r="E3" s="29"/>
    </row>
    <row r="4" spans="1:5" x14ac:dyDescent="0.25">
      <c r="A4" s="120" t="s">
        <v>5438</v>
      </c>
      <c r="B4" s="118" t="s">
        <v>5852</v>
      </c>
      <c r="C4" s="120" t="s">
        <v>6336</v>
      </c>
      <c r="D4" s="118" t="e">
        <f>VLOOKUP(C4,'1066'!$C$2:$D$1500,2,0)</f>
        <v>#N/A</v>
      </c>
      <c r="E4" s="29"/>
    </row>
    <row r="5" spans="1:5" x14ac:dyDescent="0.25">
      <c r="A5" s="120" t="s">
        <v>374</v>
      </c>
      <c r="B5" s="118" t="s">
        <v>5853</v>
      </c>
      <c r="C5" s="120" t="s">
        <v>5556</v>
      </c>
      <c r="D5" s="118" t="str">
        <f>VLOOKUP(C5,'1066'!$C$2:$D$1500,2,0)</f>
        <v>V-StrongLumio koncovky k liště Corner 10 šedá (pár) (516791)</v>
      </c>
      <c r="E5" s="29"/>
    </row>
    <row r="6" spans="1:5" x14ac:dyDescent="0.25">
      <c r="A6" s="120" t="s">
        <v>332</v>
      </c>
      <c r="B6" s="118" t="s">
        <v>5854</v>
      </c>
      <c r="C6" s="120" t="s">
        <v>5559</v>
      </c>
      <c r="D6" s="118" t="str">
        <f>VLOOKUP(C6,'1066'!$C$2:$D$1500,2,0)</f>
        <v>V-StrongLumio koncovky k liště Groove 10 šedá kulatá (pár) (516779)</v>
      </c>
      <c r="E6" s="29"/>
    </row>
    <row r="7" spans="1:5" x14ac:dyDescent="0.25">
      <c r="A7" s="120" t="s">
        <v>6316</v>
      </c>
      <c r="B7" s="118" t="s">
        <v>5855</v>
      </c>
      <c r="C7" s="120" t="s">
        <v>5563</v>
      </c>
      <c r="D7" s="118" t="str">
        <f>VLOOKUP(C7,'1066'!$C$2:$D$1500,2,0)</f>
        <v>V-StrongLumio koncovky k liště Surface 10 šedá (pár) (516767)</v>
      </c>
      <c r="E7" s="29"/>
    </row>
    <row r="8" spans="1:5" x14ac:dyDescent="0.25">
      <c r="A8" s="120" t="s">
        <v>273</v>
      </c>
      <c r="B8" s="118" t="s">
        <v>5856</v>
      </c>
      <c r="C8" s="120" t="s">
        <v>5563</v>
      </c>
      <c r="D8" s="118" t="str">
        <f>VLOOKUP(C8,'1066'!$C$2:$D$1500,2,0)</f>
        <v>V-StrongLumio koncovky k liště Surface 10 šedá (pár) (516767)</v>
      </c>
      <c r="E8" s="29"/>
    </row>
    <row r="9" spans="1:5" x14ac:dyDescent="0.25">
      <c r="A9" s="120" t="s">
        <v>4950</v>
      </c>
      <c r="B9" s="118" t="s">
        <v>5857</v>
      </c>
      <c r="C9" s="120" t="s">
        <v>6337</v>
      </c>
      <c r="D9" s="118" t="e">
        <f>VLOOKUP(C9,'1066'!$C$2:$D$1500,2,0)</f>
        <v>#N/A</v>
      </c>
      <c r="E9" s="29"/>
    </row>
    <row r="10" spans="1:5" x14ac:dyDescent="0.25">
      <c r="A10" s="120" t="s">
        <v>4967</v>
      </c>
      <c r="B10" s="118" t="s">
        <v>5858</v>
      </c>
      <c r="C10" s="120" t="s">
        <v>5585</v>
      </c>
      <c r="D10" s="118" t="str">
        <f>VLOOKUP(C10,'1066'!$C$2:$D$1500,2,0)</f>
        <v>V-StrongLumio krycí lišta k LED profilům násuvná mléčná 1000mm (130642)</v>
      </c>
      <c r="E10" s="29"/>
    </row>
    <row r="11" spans="1:5" x14ac:dyDescent="0.25">
      <c r="A11" s="120" t="s">
        <v>4969</v>
      </c>
      <c r="B11" s="118" t="s">
        <v>5859</v>
      </c>
      <c r="C11" s="120" t="s">
        <v>6338</v>
      </c>
      <c r="D11" s="118" t="e">
        <f>VLOOKUP(C11,'1066'!$C$2:$D$1500,2,0)</f>
        <v>#N/A</v>
      </c>
      <c r="E11" s="29"/>
    </row>
    <row r="12" spans="1:5" x14ac:dyDescent="0.25">
      <c r="A12" s="120" t="s">
        <v>4968</v>
      </c>
      <c r="B12" s="118" t="s">
        <v>5860</v>
      </c>
      <c r="C12" s="120" t="s">
        <v>6339</v>
      </c>
      <c r="D12" s="118" t="e">
        <f>VLOOKUP(C12,'1066'!$C$2:$D$1500,2,0)</f>
        <v>#N/A</v>
      </c>
      <c r="E12" s="29"/>
    </row>
    <row r="13" spans="1:5" x14ac:dyDescent="0.25">
      <c r="A13" s="120" t="s">
        <v>4970</v>
      </c>
      <c r="B13" s="118" t="s">
        <v>5861</v>
      </c>
      <c r="C13" s="120" t="s">
        <v>6340</v>
      </c>
      <c r="D13" s="118" t="e">
        <f>VLOOKUP(C13,'1066'!$C$2:$D$1500,2,0)</f>
        <v>#N/A</v>
      </c>
      <c r="E13" s="29"/>
    </row>
    <row r="14" spans="1:5" x14ac:dyDescent="0.25">
      <c r="A14" s="120" t="s">
        <v>4998</v>
      </c>
      <c r="B14" s="118" t="s">
        <v>5862</v>
      </c>
      <c r="C14" s="120" t="s">
        <v>6341</v>
      </c>
      <c r="D14" s="118" t="e">
        <f>VLOOKUP(C14,'1066'!$C$2:$D$1500,2,0)</f>
        <v>#N/A</v>
      </c>
      <c r="E14" s="29"/>
    </row>
    <row r="15" spans="1:5" x14ac:dyDescent="0.25">
      <c r="A15" s="120" t="s">
        <v>5000</v>
      </c>
      <c r="B15" s="118" t="s">
        <v>5863</v>
      </c>
      <c r="C15" s="120" t="s">
        <v>6342</v>
      </c>
      <c r="D15" s="118" t="e">
        <f>VLOOKUP(C15,'1066'!$C$2:$D$1500,2,0)</f>
        <v>#N/A</v>
      </c>
      <c r="E15" s="29"/>
    </row>
    <row r="16" spans="1:5" x14ac:dyDescent="0.25">
      <c r="A16" s="120" t="s">
        <v>4999</v>
      </c>
      <c r="B16" s="118" t="s">
        <v>5864</v>
      </c>
      <c r="C16" s="120" t="s">
        <v>6343</v>
      </c>
      <c r="D16" s="118" t="e">
        <f>VLOOKUP(C16,'1066'!$C$2:$D$1500,2,0)</f>
        <v>#N/A</v>
      </c>
      <c r="E16" s="29"/>
    </row>
    <row r="17" spans="1:5" x14ac:dyDescent="0.25">
      <c r="A17" s="120" t="s">
        <v>5001</v>
      </c>
      <c r="B17" s="118" t="s">
        <v>5865</v>
      </c>
      <c r="C17" s="120" t="s">
        <v>6344</v>
      </c>
      <c r="D17" s="118" t="e">
        <f>VLOOKUP(C17,'1066'!$C$2:$D$1500,2,0)</f>
        <v>#N/A</v>
      </c>
      <c r="E17" s="29"/>
    </row>
    <row r="18" spans="1:5" x14ac:dyDescent="0.25">
      <c r="A18" s="120" t="s">
        <v>415</v>
      </c>
      <c r="B18" s="118" t="s">
        <v>5866</v>
      </c>
      <c r="C18" s="120" t="s">
        <v>5578</v>
      </c>
      <c r="D18" s="118" t="str">
        <f>VLOOKUP(C18,'1066'!$C$2:$D$1500,2,0)</f>
        <v>V-StrongLumio krycí lišta C k LED profilům naklapávací průsvitná 1000mm (198516)</v>
      </c>
      <c r="E18" s="29"/>
    </row>
    <row r="19" spans="1:5" x14ac:dyDescent="0.25">
      <c r="A19" s="120" t="s">
        <v>380</v>
      </c>
      <c r="B19" s="118" t="s">
        <v>5867</v>
      </c>
      <c r="C19" s="120" t="s">
        <v>5579</v>
      </c>
      <c r="D19" s="118" t="str">
        <f>VLOOKUP(C19,'1066'!$C$2:$D$1500,2,0)</f>
        <v>V-StrongLumio krycí lišta C k LED profilům naklapávací průsvitná 2000mm (198517)</v>
      </c>
      <c r="E19" s="29"/>
    </row>
    <row r="20" spans="1:5" x14ac:dyDescent="0.25">
      <c r="A20" s="120" t="s">
        <v>368</v>
      </c>
      <c r="B20" s="118" t="s">
        <v>5868</v>
      </c>
      <c r="C20" s="120" t="s">
        <v>5699</v>
      </c>
      <c r="D20" s="118" t="str">
        <f>VLOOKUP(C20,'1066'!$C$2:$D$1500,2,0)</f>
        <v>V-StrongLumio profil LED Corner 10 alu anodovaný 1000mm (130636)</v>
      </c>
      <c r="E20" s="29"/>
    </row>
    <row r="21" spans="1:5" x14ac:dyDescent="0.25">
      <c r="A21" s="120" t="s">
        <v>375</v>
      </c>
      <c r="B21" s="118" t="s">
        <v>5869</v>
      </c>
      <c r="C21" s="120" t="s">
        <v>5700</v>
      </c>
      <c r="D21" s="118" t="str">
        <f>VLOOKUP(C21,'1066'!$C$2:$D$1500,2,0)</f>
        <v>V-StrongLumio profil LED Corner 10 alu anodovaný 2000mm (130637)</v>
      </c>
      <c r="E21" s="29"/>
    </row>
    <row r="22" spans="1:5" x14ac:dyDescent="0.25">
      <c r="A22" s="120" t="s">
        <v>326</v>
      </c>
      <c r="B22" s="118" t="s">
        <v>5870</v>
      </c>
      <c r="C22" s="120" t="s">
        <v>5713</v>
      </c>
      <c r="D22" s="118" t="str">
        <f>VLOOKUP(C22,'1066'!$C$2:$D$1500,2,0)</f>
        <v>V-StrongLumio profil LED Groove 10 alu anodovaný 1000mm (130633)</v>
      </c>
      <c r="E22" s="29"/>
    </row>
    <row r="23" spans="1:5" x14ac:dyDescent="0.25">
      <c r="A23" s="120" t="s">
        <v>334</v>
      </c>
      <c r="B23" s="118" t="s">
        <v>5871</v>
      </c>
      <c r="C23" s="120" t="s">
        <v>5714</v>
      </c>
      <c r="D23" s="118" t="str">
        <f>VLOOKUP(C23,'1066'!$C$2:$D$1500,2,0)</f>
        <v>V-StrongLumio profil LED Groove 10 alu anodovaný 2000mm (130634)</v>
      </c>
      <c r="E23" s="29"/>
    </row>
    <row r="24" spans="1:5" x14ac:dyDescent="0.25">
      <c r="A24" s="120" t="s">
        <v>266</v>
      </c>
      <c r="B24" s="118" t="s">
        <v>5872</v>
      </c>
      <c r="C24" s="120" t="s">
        <v>5730</v>
      </c>
      <c r="D24" s="118" t="str">
        <f>VLOOKUP(C24,'1066'!$C$2:$D$1500,2,0)</f>
        <v>V-StrongLumio profil LED Surface 10 alu anodovaný 1000mm (130588)</v>
      </c>
      <c r="E24" s="29"/>
    </row>
    <row r="25" spans="1:5" x14ac:dyDescent="0.25">
      <c r="A25" s="120" t="s">
        <v>274</v>
      </c>
      <c r="B25" s="118" t="s">
        <v>5873</v>
      </c>
      <c r="C25" s="120" t="s">
        <v>5731</v>
      </c>
      <c r="D25" s="118" t="str">
        <f>VLOOKUP(C25,'1066'!$C$2:$D$1500,2,0)</f>
        <v>V-StrongLumio profil LED Surface 10 alu anodovaný 2000mm (130589)</v>
      </c>
      <c r="E25" s="29"/>
    </row>
    <row r="26" spans="1:5" x14ac:dyDescent="0.25">
      <c r="A26" s="120" t="s">
        <v>5302</v>
      </c>
      <c r="B26" s="118" t="s">
        <v>5874</v>
      </c>
      <c r="C26" s="120" t="s">
        <v>6345</v>
      </c>
      <c r="D26" s="118" t="e">
        <f>VLOOKUP(C26,'1066'!$C$2:$D$1500,2,0)</f>
        <v>#N/A</v>
      </c>
      <c r="E26" s="29"/>
    </row>
    <row r="27" spans="1:5" x14ac:dyDescent="0.25">
      <c r="A27" s="120" t="s">
        <v>5304</v>
      </c>
      <c r="B27" s="118" t="s">
        <v>5875</v>
      </c>
      <c r="C27" s="120" t="s">
        <v>6346</v>
      </c>
      <c r="D27" s="118" t="e">
        <f>VLOOKUP(C27,'1066'!$C$2:$D$1500,2,0)</f>
        <v>#N/A</v>
      </c>
      <c r="E27" s="29"/>
    </row>
    <row r="28" spans="1:5" x14ac:dyDescent="0.25">
      <c r="A28" s="120" t="s">
        <v>3447</v>
      </c>
      <c r="B28" s="118" t="s">
        <v>5876</v>
      </c>
      <c r="C28" s="120" t="s">
        <v>5763</v>
      </c>
      <c r="D28" s="118" t="str">
        <f>VLOOKUP(C28,'1066'!$C$2:$D$1500,2,0)</f>
        <v>V-StrongLumio vypínač kolébkový R13 230V 4A bílý (SAL341)</v>
      </c>
      <c r="E28" s="29"/>
    </row>
    <row r="29" spans="1:5" x14ac:dyDescent="0.25">
      <c r="A29" s="120" t="s">
        <v>3452</v>
      </c>
      <c r="B29" s="118" t="s">
        <v>5877</v>
      </c>
      <c r="C29" s="120" t="s">
        <v>5764</v>
      </c>
      <c r="D29" s="118" t="str">
        <f>VLOOKUP(C29,'1066'!$C$2:$D$1500,2,0)</f>
        <v>V-StrongLumio vypínač kolébkový R13 230V 4A černý (SAL342)</v>
      </c>
      <c r="E29" s="29"/>
    </row>
    <row r="30" spans="1:5" x14ac:dyDescent="0.25">
      <c r="A30" s="120" t="s">
        <v>3457</v>
      </c>
      <c r="B30" s="118" t="s">
        <v>5878</v>
      </c>
      <c r="C30" s="120" t="s">
        <v>5765</v>
      </c>
      <c r="D30" s="118" t="str">
        <f>VLOOKUP(C30,'1066'!$C$2:$D$1500,2,0)</f>
        <v>V-StrongLumio vypínač kolébkový R13 230V 4A hnědý (SAL344)</v>
      </c>
      <c r="E30" s="29"/>
    </row>
    <row r="31" spans="1:5" x14ac:dyDescent="0.25">
      <c r="A31" s="120" t="s">
        <v>3462</v>
      </c>
      <c r="B31" s="118" t="s">
        <v>5879</v>
      </c>
      <c r="C31" s="120" t="s">
        <v>5766</v>
      </c>
      <c r="D31" s="118" t="str">
        <f>VLOOKUP(C31,'1066'!$C$2:$D$1500,2,0)</f>
        <v>V-StrongLumio vypínač kolébkový R13 230V 4A šedý (SAL343)</v>
      </c>
      <c r="E31" s="29"/>
    </row>
    <row r="32" spans="1:5" x14ac:dyDescent="0.25">
      <c r="A32" s="120" t="s">
        <v>5038</v>
      </c>
      <c r="B32" s="118" t="s">
        <v>5880</v>
      </c>
      <c r="C32" s="120" t="s">
        <v>6347</v>
      </c>
      <c r="D32" s="118" t="e">
        <f>VLOOKUP(C32,'1066'!$C$2:$D$1500,2,0)</f>
        <v>#N/A</v>
      </c>
      <c r="E32" s="29"/>
    </row>
    <row r="33" spans="1:5" x14ac:dyDescent="0.25">
      <c r="A33" s="120" t="s">
        <v>5040</v>
      </c>
      <c r="B33" s="118" t="s">
        <v>5881</v>
      </c>
      <c r="C33" s="120" t="s">
        <v>5601</v>
      </c>
      <c r="D33" s="118" t="str">
        <f>VLOOKUP(C33,'1066'!$C$2:$D$1500,2,0)</f>
        <v>V-StrongLumio LED pásek 14,4W/m 12V bílá studená (132276)</v>
      </c>
      <c r="E33" s="29"/>
    </row>
    <row r="34" spans="1:5" x14ac:dyDescent="0.25">
      <c r="A34" s="120" t="s">
        <v>6317</v>
      </c>
      <c r="B34" s="118" t="s">
        <v>5882</v>
      </c>
      <c r="C34" s="120" t="s">
        <v>6348</v>
      </c>
      <c r="D34" s="118" t="e">
        <f>VLOOKUP(C34,'1066'!$C$2:$D$1500,2,0)</f>
        <v>#N/A</v>
      </c>
      <c r="E34" s="29"/>
    </row>
    <row r="35" spans="1:5" x14ac:dyDescent="0.25">
      <c r="A35" s="120" t="s">
        <v>5041</v>
      </c>
      <c r="B35" s="118" t="s">
        <v>5883</v>
      </c>
      <c r="C35" s="120" t="s">
        <v>5602</v>
      </c>
      <c r="D35" s="118" t="str">
        <f>VLOOKUP(C35,'1066'!$C$2:$D$1500,2,0)</f>
        <v>V-StrongLumio LED pásek 14,4W/m 12V bílá teplá (157844)</v>
      </c>
      <c r="E35" s="29"/>
    </row>
    <row r="36" spans="1:5" x14ac:dyDescent="0.25">
      <c r="A36" s="120" t="s">
        <v>5042</v>
      </c>
      <c r="B36" s="118" t="s">
        <v>5884</v>
      </c>
      <c r="C36" s="120" t="s">
        <v>6349</v>
      </c>
      <c r="D36" s="118" t="e">
        <f>VLOOKUP(C36,'1066'!$C$2:$D$1500,2,0)</f>
        <v>#N/A</v>
      </c>
      <c r="E36" s="29"/>
    </row>
    <row r="37" spans="1:5" x14ac:dyDescent="0.25">
      <c r="A37" s="120" t="s">
        <v>5045</v>
      </c>
      <c r="B37" s="118" t="s">
        <v>5885</v>
      </c>
      <c r="C37" s="120" t="s">
        <v>5634</v>
      </c>
      <c r="D37" s="118" t="str">
        <f>VLOOKUP(C37,'1066'!$C$2:$D$1500,2,0)</f>
        <v>V-StrongLumio LED pásek 4,8W/m 12V bílá studená (131573)</v>
      </c>
      <c r="E37" s="29"/>
    </row>
    <row r="38" spans="1:5" x14ac:dyDescent="0.25">
      <c r="A38" s="120" t="s">
        <v>5043</v>
      </c>
      <c r="B38" s="118" t="s">
        <v>5886</v>
      </c>
      <c r="C38" s="120" t="s">
        <v>5636</v>
      </c>
      <c r="D38" s="118" t="str">
        <f>VLOOKUP(C38,'1066'!$C$2:$D$1500,2,0)</f>
        <v>V-StrongLumio LED pásek 4,8W/m 12V bílá teplá IP65 (132267)</v>
      </c>
      <c r="E38" s="29"/>
    </row>
    <row r="39" spans="1:5" x14ac:dyDescent="0.25">
      <c r="A39" s="120" t="s">
        <v>5046</v>
      </c>
      <c r="B39" s="118" t="s">
        <v>5887</v>
      </c>
      <c r="C39" s="120" t="s">
        <v>5635</v>
      </c>
      <c r="D39" s="118" t="str">
        <f>VLOOKUP(C39,'1066'!$C$2:$D$1500,2,0)</f>
        <v>V-StrongLumio LED pásek 4,8W/m 12V bílá teplá (132251)</v>
      </c>
      <c r="E39" s="29"/>
    </row>
    <row r="40" spans="1:5" x14ac:dyDescent="0.25">
      <c r="A40" s="120" t="s">
        <v>5334</v>
      </c>
      <c r="B40" s="118" t="s">
        <v>5888</v>
      </c>
      <c r="C40" s="120" t="s">
        <v>5754</v>
      </c>
      <c r="D40" s="118" t="str">
        <f>VLOOKUP(C40,'1066'!$C$2:$D$1500,2,0)</f>
        <v>V-StrongLumio připojovací kabel s kulatým konektorem pro LED 2m (134114)</v>
      </c>
      <c r="E40" s="29"/>
    </row>
    <row r="41" spans="1:5" x14ac:dyDescent="0.25">
      <c r="A41" s="120" t="s">
        <v>5160</v>
      </c>
      <c r="B41" s="118" t="s">
        <v>5889</v>
      </c>
      <c r="C41" s="120" t="s">
        <v>5672</v>
      </c>
      <c r="D41" s="118" t="str">
        <f>VLOOKUP(C41,'1066'!$C$2:$D$1500,2,0)</f>
        <v>V-StrongLumio napájecí zdroj pro LED 12V 18W (405179)</v>
      </c>
      <c r="E41" s="29"/>
    </row>
    <row r="42" spans="1:5" x14ac:dyDescent="0.25">
      <c r="A42" s="120" t="s">
        <v>5161</v>
      </c>
      <c r="B42" s="118" t="s">
        <v>5890</v>
      </c>
      <c r="C42" s="120" t="s">
        <v>5673</v>
      </c>
      <c r="D42" s="118" t="str">
        <f>VLOOKUP(C42,'1066'!$C$2:$D$1500,2,0)</f>
        <v>V-StrongLumio napájecí zdroj pro LED 12V 30W (405180)</v>
      </c>
      <c r="E42" s="29"/>
    </row>
    <row r="43" spans="1:5" x14ac:dyDescent="0.25">
      <c r="A43" s="120" t="s">
        <v>5162</v>
      </c>
      <c r="B43" s="118" t="s">
        <v>5891</v>
      </c>
      <c r="C43" s="120" t="s">
        <v>5674</v>
      </c>
      <c r="D43" s="118" t="str">
        <f>VLOOKUP(C43,'1066'!$C$2:$D$1500,2,0)</f>
        <v>V-StrongLumio napájecí zdroj pro LED 12V 48W (405181)</v>
      </c>
      <c r="E43" s="29"/>
    </row>
    <row r="44" spans="1:5" x14ac:dyDescent="0.25">
      <c r="A44" s="120" t="s">
        <v>6318</v>
      </c>
      <c r="B44" s="118" t="s">
        <v>5892</v>
      </c>
      <c r="C44" s="120" t="s">
        <v>6350</v>
      </c>
      <c r="D44" s="118" t="e">
        <f>VLOOKUP(C44,'1066'!$C$2:$D$1500,2,0)</f>
        <v>#N/A</v>
      </c>
      <c r="E44" s="29"/>
    </row>
    <row r="45" spans="1:5" x14ac:dyDescent="0.25">
      <c r="A45" s="120" t="s">
        <v>5164</v>
      </c>
      <c r="B45" s="118" t="s">
        <v>5893</v>
      </c>
      <c r="C45" s="120" t="s">
        <v>6351</v>
      </c>
      <c r="D45" s="118" t="e">
        <f>VLOOKUP(C45,'1066'!$C$2:$D$1500,2,0)</f>
        <v>#N/A</v>
      </c>
      <c r="E45" s="29"/>
    </row>
    <row r="46" spans="1:5" x14ac:dyDescent="0.25">
      <c r="A46" s="120" t="s">
        <v>5129</v>
      </c>
      <c r="B46" s="118" t="s">
        <v>5894</v>
      </c>
      <c r="C46" s="120" t="s">
        <v>5656</v>
      </c>
      <c r="D46" s="118" t="str">
        <f>VLOOKUP(C46,'1066'!$C$2:$D$1500,2,0)</f>
        <v>V-StrongLumio LED vypínač/stmívač do profilu 12/24V žlutá LED kontrolka (215666)</v>
      </c>
      <c r="E46" s="29"/>
    </row>
    <row r="47" spans="1:5" x14ac:dyDescent="0.25">
      <c r="A47" s="120" t="s">
        <v>5128</v>
      </c>
      <c r="B47" s="118" t="s">
        <v>5895</v>
      </c>
      <c r="C47" s="120" t="s">
        <v>5655</v>
      </c>
      <c r="D47" s="118" t="str">
        <f>VLOOKUP(C47,'1066'!$C$2:$D$1500,2,0)</f>
        <v>V-StrongLumio LED vypínač/stmívač do profilu 12/24V modrá LED kontrolka (215772)</v>
      </c>
      <c r="E47" s="29"/>
    </row>
    <row r="48" spans="1:5" x14ac:dyDescent="0.25">
      <c r="A48" s="120" t="s">
        <v>5235</v>
      </c>
      <c r="B48" s="118" t="s">
        <v>5896</v>
      </c>
      <c r="C48" s="120" t="s">
        <v>6352</v>
      </c>
      <c r="D48" s="118" t="e">
        <f>VLOOKUP(C48,'1066'!$C$2:$D$1500,2,0)</f>
        <v>#N/A</v>
      </c>
      <c r="E48" s="29"/>
    </row>
    <row r="49" spans="1:5" x14ac:dyDescent="0.25">
      <c r="A49" s="120" t="s">
        <v>5236</v>
      </c>
      <c r="B49" s="118" t="s">
        <v>5897</v>
      </c>
      <c r="C49" s="120" t="s">
        <v>6353</v>
      </c>
      <c r="D49" s="118" t="e">
        <f>VLOOKUP(C49,'1066'!$C$2:$D$1500,2,0)</f>
        <v>#N/A</v>
      </c>
      <c r="E49" s="29"/>
    </row>
    <row r="50" spans="1:5" x14ac:dyDescent="0.25">
      <c r="A50" s="120" t="s">
        <v>4928</v>
      </c>
      <c r="B50" s="118" t="s">
        <v>5898</v>
      </c>
      <c r="C50" s="120" t="s">
        <v>6354</v>
      </c>
      <c r="D50" s="118" t="e">
        <f>VLOOKUP(C50,'1066'!$C$2:$D$1500,2,0)</f>
        <v>#N/A</v>
      </c>
      <c r="E50" s="29"/>
    </row>
    <row r="51" spans="1:5" x14ac:dyDescent="0.25">
      <c r="A51" s="120" t="s">
        <v>5002</v>
      </c>
      <c r="B51" s="118" t="s">
        <v>5899</v>
      </c>
      <c r="C51" s="120" t="s">
        <v>6355</v>
      </c>
      <c r="D51" s="118" t="e">
        <f>VLOOKUP(C51,'1066'!$C$2:$D$1500,2,0)</f>
        <v>#N/A</v>
      </c>
      <c r="E51" s="29"/>
    </row>
    <row r="52" spans="1:5" x14ac:dyDescent="0.25">
      <c r="A52" s="120" t="s">
        <v>5004</v>
      </c>
      <c r="B52" s="118" t="s">
        <v>5900</v>
      </c>
      <c r="C52" s="120" t="s">
        <v>6356</v>
      </c>
      <c r="D52" s="118" t="e">
        <f>VLOOKUP(C52,'1066'!$C$2:$D$1500,2,0)</f>
        <v>#N/A</v>
      </c>
      <c r="E52" s="29"/>
    </row>
    <row r="53" spans="1:5" x14ac:dyDescent="0.25">
      <c r="A53" s="120" t="s">
        <v>5003</v>
      </c>
      <c r="B53" s="118" t="s">
        <v>5901</v>
      </c>
      <c r="C53" s="120" t="s">
        <v>6357</v>
      </c>
      <c r="D53" s="118" t="e">
        <f>VLOOKUP(C53,'1066'!$C$2:$D$1500,2,0)</f>
        <v>#N/A</v>
      </c>
      <c r="E53" s="29"/>
    </row>
    <row r="54" spans="1:5" x14ac:dyDescent="0.25">
      <c r="A54" s="120" t="s">
        <v>5005</v>
      </c>
      <c r="B54" s="118" t="s">
        <v>5902</v>
      </c>
      <c r="C54" s="120" t="s">
        <v>6358</v>
      </c>
      <c r="D54" s="118" t="e">
        <f>VLOOKUP(C54,'1066'!$C$2:$D$1500,2,0)</f>
        <v>#N/A</v>
      </c>
      <c r="E54" s="29"/>
    </row>
    <row r="55" spans="1:5" x14ac:dyDescent="0.25">
      <c r="A55" s="120" t="s">
        <v>5431</v>
      </c>
      <c r="B55" s="118" t="s">
        <v>5903</v>
      </c>
      <c r="C55" s="120" t="s">
        <v>5761</v>
      </c>
      <c r="D55" s="118" t="str">
        <f>VLOOKUP(C55,'1066'!$C$2:$D$1500,2,0)</f>
        <v>V-StrongLumio úchyty pružinové pro LED profil (pár) (215054)</v>
      </c>
      <c r="E55" s="29"/>
    </row>
    <row r="56" spans="1:5" x14ac:dyDescent="0.25">
      <c r="A56" s="120" t="s">
        <v>5275</v>
      </c>
      <c r="B56" s="118" t="s">
        <v>5904</v>
      </c>
      <c r="C56" s="120" t="s">
        <v>6359</v>
      </c>
      <c r="D56" s="118" t="e">
        <f>VLOOKUP(C56,'1066'!$C$2:$D$1500,2,0)</f>
        <v>#N/A</v>
      </c>
      <c r="E56" s="29"/>
    </row>
    <row r="57" spans="1:5" x14ac:dyDescent="0.25">
      <c r="A57" s="120" t="s">
        <v>5278</v>
      </c>
      <c r="B57" s="118" t="s">
        <v>5905</v>
      </c>
      <c r="C57" s="120" t="s">
        <v>5725</v>
      </c>
      <c r="D57" s="118" t="str">
        <f>VLOOKUP(C57,'1066'!$C$2:$D$1500,2,0)</f>
        <v>V-StrongLumio profil LED Slim alu anodovaný 2000mm (215826)</v>
      </c>
      <c r="E57" s="29"/>
    </row>
    <row r="58" spans="1:5" x14ac:dyDescent="0.25">
      <c r="A58" s="120" t="s">
        <v>4961</v>
      </c>
      <c r="B58" s="118" t="s">
        <v>5906</v>
      </c>
      <c r="C58" s="120" t="s">
        <v>6360</v>
      </c>
      <c r="D58" s="118" t="e">
        <f>VLOOKUP(C58,'1066'!$C$2:$D$1500,2,0)</f>
        <v>#N/A</v>
      </c>
      <c r="E58" s="29"/>
    </row>
    <row r="59" spans="1:5" x14ac:dyDescent="0.25">
      <c r="A59" s="120" t="s">
        <v>4963</v>
      </c>
      <c r="B59" s="118" t="s">
        <v>5907</v>
      </c>
      <c r="C59" s="120" t="s">
        <v>5588</v>
      </c>
      <c r="D59" s="118" t="str">
        <f>VLOOKUP(C59,'1066'!$C$2:$D$1500,2,0)</f>
        <v>V-StrongLumio krycí lišta k profilu Slim/Smart10 násuvná mléčná 2000mm (215846)</v>
      </c>
      <c r="E59" s="29"/>
    </row>
    <row r="60" spans="1:5" x14ac:dyDescent="0.25">
      <c r="A60" s="120" t="s">
        <v>4962</v>
      </c>
      <c r="B60" s="118" t="s">
        <v>5908</v>
      </c>
      <c r="C60" s="120" t="s">
        <v>6361</v>
      </c>
      <c r="D60" s="118" t="e">
        <f>VLOOKUP(C60,'1066'!$C$2:$D$1500,2,0)</f>
        <v>#N/A</v>
      </c>
      <c r="E60" s="29"/>
    </row>
    <row r="61" spans="1:5" x14ac:dyDescent="0.25">
      <c r="A61" s="120" t="s">
        <v>4964</v>
      </c>
      <c r="B61" s="118" t="s">
        <v>5909</v>
      </c>
      <c r="C61" s="120" t="s">
        <v>6362</v>
      </c>
      <c r="D61" s="118" t="e">
        <f>VLOOKUP(C61,'1066'!$C$2:$D$1500,2,0)</f>
        <v>#N/A</v>
      </c>
      <c r="E61" s="29"/>
    </row>
    <row r="62" spans="1:5" x14ac:dyDescent="0.25">
      <c r="A62" s="120" t="s">
        <v>6319</v>
      </c>
      <c r="B62" s="118" t="s">
        <v>5910</v>
      </c>
      <c r="C62" s="120" t="s">
        <v>6363</v>
      </c>
      <c r="D62" s="118" t="e">
        <f>VLOOKUP(C62,'1066'!$C$2:$D$1500,2,0)</f>
        <v>#N/A</v>
      </c>
      <c r="E62" s="29"/>
    </row>
    <row r="63" spans="1:5" x14ac:dyDescent="0.25">
      <c r="A63" s="120" t="s">
        <v>4960</v>
      </c>
      <c r="B63" s="118" t="s">
        <v>5911</v>
      </c>
      <c r="C63" s="120" t="s">
        <v>6364</v>
      </c>
      <c r="D63" s="118" t="e">
        <f>VLOOKUP(C63,'1066'!$C$2:$D$1500,2,0)</f>
        <v>#N/A</v>
      </c>
      <c r="E63" s="29"/>
    </row>
    <row r="64" spans="1:5" x14ac:dyDescent="0.25">
      <c r="A64" s="120" t="s">
        <v>4942</v>
      </c>
      <c r="B64" s="118" t="s">
        <v>5912</v>
      </c>
      <c r="C64" s="120" t="s">
        <v>5566</v>
      </c>
      <c r="D64" s="118" t="str">
        <f>VLOOKUP(C64,'1066'!$C$2:$D$1500,2,0)</f>
        <v>V-StrongLumio koncovky k profilu Slim šedá (pár) (215852)</v>
      </c>
      <c r="E64" s="29"/>
    </row>
    <row r="65" spans="1:5" x14ac:dyDescent="0.25">
      <c r="A65" s="120" t="s">
        <v>417</v>
      </c>
      <c r="B65" s="118" t="s">
        <v>5913</v>
      </c>
      <c r="C65" s="120" t="s">
        <v>5574</v>
      </c>
      <c r="D65" s="118" t="str">
        <f>VLOOKUP(C65,'1066'!$C$2:$D$1500,2,0)</f>
        <v>V-StrongLumio krycí lišta C k LED profilům naklapávací mléčná 1000mm (221007)</v>
      </c>
      <c r="E65" s="29"/>
    </row>
    <row r="66" spans="1:5" x14ac:dyDescent="0.25">
      <c r="A66" s="120" t="s">
        <v>386</v>
      </c>
      <c r="B66" s="118" t="s">
        <v>5914</v>
      </c>
      <c r="C66" s="120" t="s">
        <v>5575</v>
      </c>
      <c r="D66" s="118" t="str">
        <f>VLOOKUP(C66,'1066'!$C$2:$D$1500,2,0)</f>
        <v>V-StrongLumio krycí lišta C k LED profilům naklapávací mléčná 2000mm (221008)</v>
      </c>
      <c r="E66" s="29"/>
    </row>
    <row r="67" spans="1:5" x14ac:dyDescent="0.25">
      <c r="A67" s="120" t="s">
        <v>5301</v>
      </c>
      <c r="B67" s="118" t="s">
        <v>5915</v>
      </c>
      <c r="C67" s="120" t="s">
        <v>6365</v>
      </c>
      <c r="D67" s="118" t="e">
        <f>VLOOKUP(C67,'1066'!$C$2:$D$1500,2,0)</f>
        <v>#N/A</v>
      </c>
      <c r="E67" s="29"/>
    </row>
    <row r="68" spans="1:5" x14ac:dyDescent="0.25">
      <c r="A68" s="120" t="s">
        <v>5303</v>
      </c>
      <c r="B68" s="118" t="s">
        <v>5916</v>
      </c>
      <c r="C68" s="120" t="s">
        <v>6366</v>
      </c>
      <c r="D68" s="118" t="e">
        <f>VLOOKUP(C68,'1066'!$C$2:$D$1500,2,0)</f>
        <v>#N/A</v>
      </c>
      <c r="E68" s="29"/>
    </row>
    <row r="69" spans="1:5" x14ac:dyDescent="0.25">
      <c r="A69" s="120" t="s">
        <v>5338</v>
      </c>
      <c r="B69" s="118" t="s">
        <v>5917</v>
      </c>
      <c r="C69" s="120" t="s">
        <v>5755</v>
      </c>
      <c r="D69" s="118" t="str">
        <f>VLOOKUP(C69,'1066'!$C$2:$D$1500,2,0)</f>
        <v>V-StrongLumio RF dálkový vypínač/stmívač 12V/24V (223823)</v>
      </c>
      <c r="E69" s="29"/>
    </row>
    <row r="70" spans="1:5" x14ac:dyDescent="0.25">
      <c r="A70" s="120" t="s">
        <v>354</v>
      </c>
      <c r="B70" s="118" t="s">
        <v>5918</v>
      </c>
      <c r="C70" s="120" t="s">
        <v>5555</v>
      </c>
      <c r="D70" s="118" t="str">
        <f>VLOOKUP(C70,'1066'!$C$2:$D$1500,2,0)</f>
        <v>V-StrongLumio koncovky k liště Corner 10 černá (pár) (517342)</v>
      </c>
      <c r="E70" s="29"/>
    </row>
    <row r="71" spans="1:5" x14ac:dyDescent="0.25">
      <c r="A71" s="120" t="s">
        <v>313</v>
      </c>
      <c r="B71" s="118" t="s">
        <v>5919</v>
      </c>
      <c r="C71" s="120" t="s">
        <v>5500</v>
      </c>
      <c r="D71" s="118" t="str">
        <f>VLOOKUP(C71,'1066'!$C$2:$D$1500,2,0)</f>
        <v>V-koncovky k liště Groove 10 černá (pár) (516780)</v>
      </c>
      <c r="E71" s="29"/>
    </row>
    <row r="72" spans="1:5" x14ac:dyDescent="0.25">
      <c r="A72" s="120" t="s">
        <v>252</v>
      </c>
      <c r="B72" s="118" t="s">
        <v>5920</v>
      </c>
      <c r="C72" s="120" t="s">
        <v>5501</v>
      </c>
      <c r="D72" s="118" t="str">
        <f>VLOOKUP(C72,'1066'!$C$2:$D$1500,2,0)</f>
        <v>V-koncovky k liště Surface černá (pár) (516777)</v>
      </c>
      <c r="E72" s="29"/>
    </row>
    <row r="73" spans="1:5" x14ac:dyDescent="0.25">
      <c r="A73" s="120" t="s">
        <v>403</v>
      </c>
      <c r="B73" s="118" t="s">
        <v>5921</v>
      </c>
      <c r="C73" s="120" t="s">
        <v>5576</v>
      </c>
      <c r="D73" s="118" t="str">
        <f>VLOOKUP(C73,'1066'!$C$2:$D$1500,2,0)</f>
        <v>V-StrongLumio krycí lišta C k LED profilům naklapávací mléčná 3000mm (233554)</v>
      </c>
      <c r="E73" s="29"/>
    </row>
    <row r="74" spans="1:5" x14ac:dyDescent="0.25">
      <c r="A74" s="120" t="s">
        <v>399</v>
      </c>
      <c r="B74" s="118" t="s">
        <v>5922</v>
      </c>
      <c r="C74" s="120" t="s">
        <v>5580</v>
      </c>
      <c r="D74" s="118" t="str">
        <f>VLOOKUP(C74,'1066'!$C$2:$D$1500,2,0)</f>
        <v>V-StrongLumio krycí lišta C k LED profilům naklapávací průsvitná 3000mm (244352)</v>
      </c>
      <c r="E74" s="29"/>
    </row>
    <row r="75" spans="1:5" x14ac:dyDescent="0.25">
      <c r="A75" s="120" t="s">
        <v>4971</v>
      </c>
      <c r="B75" s="118" t="s">
        <v>5923</v>
      </c>
      <c r="C75" s="120" t="s">
        <v>6367</v>
      </c>
      <c r="D75" s="118" t="e">
        <f>VLOOKUP(C75,'1066'!$C$2:$D$1500,2,0)</f>
        <v>#N/A</v>
      </c>
      <c r="E75" s="29"/>
    </row>
    <row r="76" spans="1:5" x14ac:dyDescent="0.25">
      <c r="A76" s="120" t="s">
        <v>5008</v>
      </c>
      <c r="B76" s="118" t="s">
        <v>5924</v>
      </c>
      <c r="C76" s="120" t="s">
        <v>6368</v>
      </c>
      <c r="D76" s="118" t="e">
        <f>VLOOKUP(C76,'1066'!$C$2:$D$1500,2,0)</f>
        <v>#N/A</v>
      </c>
      <c r="E76" s="29"/>
    </row>
    <row r="77" spans="1:5" x14ac:dyDescent="0.25">
      <c r="A77" s="120" t="s">
        <v>5009</v>
      </c>
      <c r="B77" s="118" t="s">
        <v>5925</v>
      </c>
      <c r="C77" s="120" t="s">
        <v>6369</v>
      </c>
      <c r="D77" s="118" t="e">
        <f>VLOOKUP(C77,'1066'!$C$2:$D$1500,2,0)</f>
        <v>#N/A</v>
      </c>
      <c r="E77" s="29"/>
    </row>
    <row r="78" spans="1:5" x14ac:dyDescent="0.25">
      <c r="A78" s="120" t="s">
        <v>378</v>
      </c>
      <c r="B78" s="118" t="s">
        <v>5926</v>
      </c>
      <c r="C78" s="120" t="s">
        <v>5701</v>
      </c>
      <c r="D78" s="118" t="str">
        <f>VLOOKUP(C78,'1066'!$C$2:$D$1500,2,0)</f>
        <v>V-StrongLumio profil LED Corner 10 alu anodovaný 3000mm (244329)</v>
      </c>
      <c r="E78" s="29"/>
    </row>
    <row r="79" spans="1:5" x14ac:dyDescent="0.25">
      <c r="A79" s="120" t="s">
        <v>338</v>
      </c>
      <c r="B79" s="118" t="s">
        <v>5927</v>
      </c>
      <c r="C79" s="120" t="s">
        <v>5704</v>
      </c>
      <c r="D79" s="118" t="str">
        <f>VLOOKUP(C79,'1066'!$C$2:$D$1500,2,0)</f>
        <v>V-StrongLumio profil LED Corner 10 alu bílý 2000mm (230908)</v>
      </c>
      <c r="E79" s="29"/>
    </row>
    <row r="80" spans="1:5" x14ac:dyDescent="0.25">
      <c r="A80" s="120" t="s">
        <v>348</v>
      </c>
      <c r="B80" s="118" t="s">
        <v>5928</v>
      </c>
      <c r="C80" s="120" t="s">
        <v>5708</v>
      </c>
      <c r="D80" s="118" t="str">
        <f>VLOOKUP(C80,'1066'!$C$2:$D$1500,2,0)</f>
        <v>V-StrongLumio profil LED Corner 10 alu černý 2000mm (230907)</v>
      </c>
      <c r="E80" s="29"/>
    </row>
    <row r="81" spans="1:5" x14ac:dyDescent="0.25">
      <c r="A81" s="120" t="s">
        <v>336</v>
      </c>
      <c r="B81" s="118" t="s">
        <v>5929</v>
      </c>
      <c r="C81" s="120" t="s">
        <v>5715</v>
      </c>
      <c r="D81" s="118" t="str">
        <f>VLOOKUP(C81,'1066'!$C$2:$D$1500,2,0)</f>
        <v>V-StrongLumio profil LED Groove 10 alu anodovaný 3000mm (233553)</v>
      </c>
      <c r="E81" s="29"/>
    </row>
    <row r="82" spans="1:5" x14ac:dyDescent="0.25">
      <c r="A82" s="120" t="s">
        <v>287</v>
      </c>
      <c r="B82" s="118" t="s">
        <v>5930</v>
      </c>
      <c r="C82" s="120" t="s">
        <v>5718</v>
      </c>
      <c r="D82" s="118" t="str">
        <f>VLOOKUP(C82,'1066'!$C$2:$D$1500,2,0)</f>
        <v>V-StrongLumio profil LED Groove 10 alu bílý 2000mm (230906)</v>
      </c>
      <c r="E82" s="29"/>
    </row>
    <row r="83" spans="1:5" x14ac:dyDescent="0.25">
      <c r="A83" s="120" t="s">
        <v>306</v>
      </c>
      <c r="B83" s="118" t="s">
        <v>5931</v>
      </c>
      <c r="C83" s="120" t="s">
        <v>5722</v>
      </c>
      <c r="D83" s="118" t="str">
        <f>VLOOKUP(C83,'1066'!$C$2:$D$1500,2,0)</f>
        <v>V-StrongLumio profil LED Groove 10 alu černý 2000mm (230905)</v>
      </c>
      <c r="E83" s="29"/>
    </row>
    <row r="84" spans="1:5" x14ac:dyDescent="0.25">
      <c r="A84" s="120" t="s">
        <v>5265</v>
      </c>
      <c r="B84" s="118" t="s">
        <v>5932</v>
      </c>
      <c r="C84" s="120" t="s">
        <v>6370</v>
      </c>
      <c r="D84" s="118" t="e">
        <f>VLOOKUP(C84,'1066'!$C$2:$D$1500,2,0)</f>
        <v>#N/A</v>
      </c>
      <c r="E84" s="29"/>
    </row>
    <row r="85" spans="1:5" x14ac:dyDescent="0.25">
      <c r="A85" s="120" t="s">
        <v>5266</v>
      </c>
      <c r="B85" s="118" t="s">
        <v>5933</v>
      </c>
      <c r="C85" s="120" t="s">
        <v>6371</v>
      </c>
      <c r="D85" s="118" t="e">
        <f>VLOOKUP(C85,'1066'!$C$2:$D$1500,2,0)</f>
        <v>#N/A</v>
      </c>
      <c r="E85" s="29"/>
    </row>
    <row r="86" spans="1:5" x14ac:dyDescent="0.25">
      <c r="A86" s="120" t="s">
        <v>277</v>
      </c>
      <c r="B86" s="118" t="s">
        <v>5934</v>
      </c>
      <c r="C86" s="120" t="s">
        <v>5732</v>
      </c>
      <c r="D86" s="118" t="str">
        <f>VLOOKUP(C86,'1066'!$C$2:$D$1500,2,0)</f>
        <v>V-StrongLumio profil LED Surface 10 alu anodovaný 3000mm (244328)</v>
      </c>
      <c r="E86" s="29"/>
    </row>
    <row r="87" spans="1:5" x14ac:dyDescent="0.25">
      <c r="A87" s="120" t="s">
        <v>230</v>
      </c>
      <c r="B87" s="118" t="s">
        <v>5935</v>
      </c>
      <c r="C87" s="120" t="s">
        <v>5735</v>
      </c>
      <c r="D87" s="118" t="str">
        <f>VLOOKUP(C87,'1066'!$C$2:$D$1500,2,0)</f>
        <v>V-StrongLumio profil LED Surface 10 alu bílý 2000mm (230904)</v>
      </c>
      <c r="E87" s="29"/>
    </row>
    <row r="88" spans="1:5" x14ac:dyDescent="0.25">
      <c r="A88" s="120" t="s">
        <v>246</v>
      </c>
      <c r="B88" s="118" t="s">
        <v>5936</v>
      </c>
      <c r="C88" s="120" t="s">
        <v>5740</v>
      </c>
      <c r="D88" s="118" t="str">
        <f>VLOOKUP(C88,'1066'!$C$2:$D$1500,2,0)</f>
        <v>V-StrongLumio profil LED Surface 10 alu černý 2000mm (230903)</v>
      </c>
      <c r="E88" s="29"/>
    </row>
    <row r="89" spans="1:5" x14ac:dyDescent="0.25">
      <c r="A89" s="120" t="s">
        <v>5429</v>
      </c>
      <c r="B89" s="118" t="s">
        <v>5937</v>
      </c>
      <c r="C89" s="120" t="s">
        <v>6372</v>
      </c>
      <c r="D89" s="118" t="e">
        <f>VLOOKUP(C89,'1066'!$C$2:$D$1500,2,0)</f>
        <v>#N/A</v>
      </c>
      <c r="E89" s="29"/>
    </row>
    <row r="90" spans="1:5" x14ac:dyDescent="0.25">
      <c r="A90" s="120" t="s">
        <v>5435</v>
      </c>
      <c r="B90" s="118" t="s">
        <v>5938</v>
      </c>
      <c r="C90" s="120" t="s">
        <v>6373</v>
      </c>
      <c r="D90" s="118" t="e">
        <f>VLOOKUP(C90,'1066'!$C$2:$D$1500,2,0)</f>
        <v>#N/A</v>
      </c>
      <c r="E90" s="29"/>
    </row>
    <row r="91" spans="1:5" x14ac:dyDescent="0.25">
      <c r="A91" s="120" t="s">
        <v>5048</v>
      </c>
      <c r="B91" s="118" t="s">
        <v>5939</v>
      </c>
      <c r="C91" s="120" t="s">
        <v>5643</v>
      </c>
      <c r="D91" s="118" t="str">
        <f>VLOOKUP(C91,'1066'!$C$2:$D$1500,2,0)</f>
        <v>V-StrongLumio LED pásek 9,6W/m 12V bílá studená (231387)</v>
      </c>
      <c r="E91" s="29"/>
    </row>
    <row r="92" spans="1:5" x14ac:dyDescent="0.25">
      <c r="A92" s="120" t="s">
        <v>5049</v>
      </c>
      <c r="B92" s="118" t="s">
        <v>5940</v>
      </c>
      <c r="C92" s="120" t="s">
        <v>5644</v>
      </c>
      <c r="D92" s="118" t="str">
        <f>VLOOKUP(C92,'1066'!$C$2:$D$1500,2,0)</f>
        <v>V-StrongLumio LED pásek 9,6W/m 12V bílá teplá (231392)</v>
      </c>
      <c r="E92" s="29"/>
    </row>
    <row r="93" spans="1:5" x14ac:dyDescent="0.25">
      <c r="A93" s="120" t="s">
        <v>5036</v>
      </c>
      <c r="B93" s="118" t="s">
        <v>5941</v>
      </c>
      <c r="C93" s="120" t="s">
        <v>5598</v>
      </c>
      <c r="D93" s="118" t="str">
        <f>VLOOKUP(C93,'1066'!$C$2:$D$1500,2,0)</f>
        <v>V-StrongLumio LED pásek 12W/m 12V bílá studená (231388)</v>
      </c>
      <c r="E93" s="29"/>
    </row>
    <row r="94" spans="1:5" x14ac:dyDescent="0.25">
      <c r="A94" s="120" t="s">
        <v>5037</v>
      </c>
      <c r="B94" s="118" t="s">
        <v>5942</v>
      </c>
      <c r="C94" s="120" t="s">
        <v>5599</v>
      </c>
      <c r="D94" s="118" t="str">
        <f>VLOOKUP(C94,'1066'!$C$2:$D$1500,2,0)</f>
        <v>V-StrongLumio LED pásek 12W/m 12V bílá teplá (231394)</v>
      </c>
      <c r="E94" s="29"/>
    </row>
    <row r="95" spans="1:5" x14ac:dyDescent="0.25">
      <c r="A95" s="120" t="s">
        <v>5033</v>
      </c>
      <c r="B95" s="118" t="s">
        <v>5943</v>
      </c>
      <c r="C95" s="120" t="s">
        <v>6374</v>
      </c>
      <c r="D95" s="118" t="e">
        <f>VLOOKUP(C95,'1066'!$C$2:$D$1500,2,0)</f>
        <v>#N/A</v>
      </c>
      <c r="E95" s="29"/>
    </row>
    <row r="96" spans="1:5" x14ac:dyDescent="0.25">
      <c r="A96" s="120" t="s">
        <v>5034</v>
      </c>
      <c r="B96" s="118" t="s">
        <v>5944</v>
      </c>
      <c r="C96" s="120" t="s">
        <v>5600</v>
      </c>
      <c r="D96" s="118" t="str">
        <f>VLOOKUP(C96,'1066'!$C$2:$D$1500,2,0)</f>
        <v>V-StrongLumio LED pásek 12W/m 12V bílá teplá IP65 (231401)</v>
      </c>
      <c r="E96" s="29"/>
    </row>
    <row r="97" spans="1:5" ht="15.75" x14ac:dyDescent="0.25">
      <c r="A97" s="119" t="s">
        <v>6320</v>
      </c>
      <c r="B97" s="121" t="s">
        <v>5945</v>
      </c>
      <c r="C97" s="119" t="s">
        <v>6375</v>
      </c>
      <c r="D97" s="118" t="e">
        <f>VLOOKUP(C97,'1066'!$C$2:$D$1500,2,0)</f>
        <v>#N/A</v>
      </c>
      <c r="E97" s="29"/>
    </row>
    <row r="98" spans="1:5" ht="15.75" x14ac:dyDescent="0.25">
      <c r="A98" s="119" t="s">
        <v>5044</v>
      </c>
      <c r="B98" s="121" t="s">
        <v>5946</v>
      </c>
      <c r="C98" s="119" t="s">
        <v>5633</v>
      </c>
      <c r="D98" s="118" t="str">
        <f>VLOOKUP(C98,'1066'!$C$2:$D$1500,2,0)</f>
        <v>V-StrongLumio LED pásek 4,8W/m 12V bílá neutrální (249934)</v>
      </c>
      <c r="E98" s="29"/>
    </row>
    <row r="99" spans="1:5" ht="15.75" x14ac:dyDescent="0.25">
      <c r="A99" s="119" t="s">
        <v>5047</v>
      </c>
      <c r="B99" s="121" t="s">
        <v>5947</v>
      </c>
      <c r="C99" s="119" t="s">
        <v>5642</v>
      </c>
      <c r="D99" s="118" t="str">
        <f>VLOOKUP(C99,'1066'!$C$2:$D$1500,2,0)</f>
        <v>V-StrongLumio LED pásek 9,6W/m 12V bílá neutrální (250029)</v>
      </c>
      <c r="E99" s="29"/>
    </row>
    <row r="100" spans="1:5" ht="15.75" x14ac:dyDescent="0.25">
      <c r="A100" s="119" t="s">
        <v>5035</v>
      </c>
      <c r="B100" s="121" t="s">
        <v>5948</v>
      </c>
      <c r="C100" s="119" t="s">
        <v>5597</v>
      </c>
      <c r="D100" s="118" t="str">
        <f>VLOOKUP(C100,'1066'!$C$2:$D$1500,2,0)</f>
        <v>V-StrongLumio LED pásek 12W/m 12V bílá neutrální (250030)</v>
      </c>
      <c r="E100" s="29"/>
    </row>
    <row r="101" spans="1:5" x14ac:dyDescent="0.25">
      <c r="A101" s="119" t="s">
        <v>5064</v>
      </c>
      <c r="B101" s="118" t="s">
        <v>5949</v>
      </c>
      <c r="C101" s="119" t="s">
        <v>5607</v>
      </c>
      <c r="D101" s="118" t="str">
        <f>VLOOKUP(C101,'1066'!$C$2:$D$1500,2,0)</f>
        <v>V-StrongLumio LED pásek 14,4W/m 24V bílá neutrální (284567)</v>
      </c>
      <c r="E101" s="29"/>
    </row>
    <row r="102" spans="1:5" x14ac:dyDescent="0.25">
      <c r="A102" s="119" t="s">
        <v>5170</v>
      </c>
      <c r="B102" s="118" t="s">
        <v>5950</v>
      </c>
      <c r="C102" s="119" t="s">
        <v>6376</v>
      </c>
      <c r="D102" s="118" t="e">
        <f>VLOOKUP(C102,'1066'!$C$2:$D$1500,2,0)</f>
        <v>#N/A</v>
      </c>
      <c r="E102" s="29"/>
    </row>
    <row r="103" spans="1:5" x14ac:dyDescent="0.25">
      <c r="A103" s="119" t="s">
        <v>5065</v>
      </c>
      <c r="B103" s="118" t="s">
        <v>5951</v>
      </c>
      <c r="C103" s="119" t="s">
        <v>6377</v>
      </c>
      <c r="D103" s="118" t="e">
        <f>VLOOKUP(C103,'1066'!$C$2:$D$1500,2,0)</f>
        <v>#N/A</v>
      </c>
      <c r="E103" s="29"/>
    </row>
    <row r="104" spans="1:5" x14ac:dyDescent="0.25">
      <c r="A104" s="119" t="s">
        <v>5171</v>
      </c>
      <c r="B104" s="118" t="s">
        <v>5952</v>
      </c>
      <c r="C104" s="119" t="s">
        <v>6378</v>
      </c>
      <c r="D104" s="118" t="e">
        <f>VLOOKUP(C104,'1066'!$C$2:$D$1500,2,0)</f>
        <v>#N/A</v>
      </c>
      <c r="E104" s="29"/>
    </row>
    <row r="105" spans="1:5" x14ac:dyDescent="0.25">
      <c r="A105" s="119" t="s">
        <v>5333</v>
      </c>
      <c r="B105" s="118" t="s">
        <v>5953</v>
      </c>
      <c r="C105" s="119" t="s">
        <v>5753</v>
      </c>
      <c r="D105" s="118" t="str">
        <f>VLOOKUP(C105,'1066'!$C$2:$D$1500,2,0)</f>
        <v>V-StrongLumio připojovací kabel s kulatým konektorem pro LED 0,15m (179054)</v>
      </c>
      <c r="E105" s="29"/>
    </row>
    <row r="106" spans="1:5" x14ac:dyDescent="0.25">
      <c r="A106" s="119" t="s">
        <v>5169</v>
      </c>
      <c r="B106" s="118" t="s">
        <v>5954</v>
      </c>
      <c r="C106" s="119" t="s">
        <v>6379</v>
      </c>
      <c r="D106" s="118" t="e">
        <f>VLOOKUP(C106,'1066'!$C$2:$D$1500,2,0)</f>
        <v>#N/A</v>
      </c>
      <c r="E106" s="29"/>
    </row>
    <row r="107" spans="1:5" x14ac:dyDescent="0.25">
      <c r="A107" s="119" t="s">
        <v>5078</v>
      </c>
      <c r="B107" s="118" t="s">
        <v>5955</v>
      </c>
      <c r="C107" s="119" t="s">
        <v>5637</v>
      </c>
      <c r="D107" s="118" t="str">
        <f>VLOOKUP(C107,'1066'!$C$2:$D$1500,2,0)</f>
        <v>V-StrongLumio LED pásek 6W/m 24V bílá neutrální (284555)</v>
      </c>
      <c r="E107" s="29"/>
    </row>
    <row r="108" spans="1:5" x14ac:dyDescent="0.25">
      <c r="A108" s="119" t="s">
        <v>5154</v>
      </c>
      <c r="B108" s="118" t="s">
        <v>5956</v>
      </c>
      <c r="C108" s="119" t="s">
        <v>5669</v>
      </c>
      <c r="D108" s="118" t="str">
        <f>VLOOKUP(C108,'1066'!$C$2:$D$1500,2,0)</f>
        <v>V-StrongLumio napájecí zdroj plochý pro LED 24V 60W (284623)</v>
      </c>
      <c r="E108" s="29"/>
    </row>
    <row r="109" spans="1:5" x14ac:dyDescent="0.25">
      <c r="A109" s="119" t="s">
        <v>5053</v>
      </c>
      <c r="B109" s="118" t="s">
        <v>5957</v>
      </c>
      <c r="C109" s="119" t="s">
        <v>5594</v>
      </c>
      <c r="D109" s="118" t="str">
        <f>VLOOKUP(C109,'1066'!$C$2:$D$1500,2,0)</f>
        <v>V-StrongLumio LED pásek 12W/m (120) 24V bílá neutrální (284561)</v>
      </c>
      <c r="E109" s="29"/>
    </row>
    <row r="110" spans="1:5" x14ac:dyDescent="0.25">
      <c r="A110" s="119" t="s">
        <v>5066</v>
      </c>
      <c r="B110" s="118" t="s">
        <v>5958</v>
      </c>
      <c r="C110" s="119" t="s">
        <v>5608</v>
      </c>
      <c r="D110" s="118" t="str">
        <f>VLOOKUP(C110,'1066'!$C$2:$D$1500,2,0)</f>
        <v>V-StrongLumio LED pásek 14,4W/m 24V bílá teplá (284566)</v>
      </c>
      <c r="E110" s="29"/>
    </row>
    <row r="111" spans="1:5" x14ac:dyDescent="0.25">
      <c r="A111" s="119" t="s">
        <v>337</v>
      </c>
      <c r="B111" s="118" t="s">
        <v>5959</v>
      </c>
      <c r="C111" s="119" t="s">
        <v>5716</v>
      </c>
      <c r="D111" s="118" t="str">
        <f>VLOOKUP(C111,'1066'!$C$2:$D$1500,2,0)</f>
        <v>V-StrongLumio profil LED Groove 10 alu anodovaný 4050mm (269800)</v>
      </c>
      <c r="E111" s="29"/>
    </row>
    <row r="112" spans="1:5" x14ac:dyDescent="0.25">
      <c r="A112" s="119" t="s">
        <v>409</v>
      </c>
      <c r="B112" s="118" t="s">
        <v>5960</v>
      </c>
      <c r="C112" s="119" t="s">
        <v>5577</v>
      </c>
      <c r="D112" s="118" t="str">
        <f>VLOOKUP(C112,'1066'!$C$2:$D$1500,2,0)</f>
        <v>V-StrongLumio krycí lišta C k LED profilům naklapávací mléčná 4100mm (269801)</v>
      </c>
      <c r="E112" s="29"/>
    </row>
    <row r="113" spans="1:5" x14ac:dyDescent="0.25">
      <c r="A113" s="119" t="s">
        <v>253</v>
      </c>
      <c r="B113" s="118" t="s">
        <v>5961</v>
      </c>
      <c r="C113" s="119" t="s">
        <v>5741</v>
      </c>
      <c r="D113" s="118" t="str">
        <f>VLOOKUP(C113,'1066'!$C$2:$D$1500,2,0)</f>
        <v>V-StrongLumio profil LED Surface 10 alu černý 3000mm (275767)</v>
      </c>
      <c r="E113" s="29"/>
    </row>
    <row r="114" spans="1:5" x14ac:dyDescent="0.25">
      <c r="A114" s="119" t="s">
        <v>237</v>
      </c>
      <c r="B114" s="118" t="s">
        <v>5962</v>
      </c>
      <c r="C114" s="119" t="s">
        <v>5736</v>
      </c>
      <c r="D114" s="118" t="str">
        <f>VLOOKUP(C114,'1066'!$C$2:$D$1500,2,0)</f>
        <v>V-StrongLumio profil LED Surface 10 alu bílý 3000mm (285023)</v>
      </c>
      <c r="E114" s="29"/>
    </row>
    <row r="115" spans="1:5" x14ac:dyDescent="0.25">
      <c r="A115" s="119" t="s">
        <v>407</v>
      </c>
      <c r="B115" s="118" t="s">
        <v>5963</v>
      </c>
      <c r="C115" s="119" t="s">
        <v>5581</v>
      </c>
      <c r="D115" s="118" t="str">
        <f>VLOOKUP(C115,'1066'!$C$2:$D$1500,2,0)</f>
        <v>V-StrongLumio krycí lišta C k LED profilům naklapávací průsvitná 4100mm (252279)</v>
      </c>
      <c r="E115" s="29"/>
    </row>
    <row r="116" spans="1:5" x14ac:dyDescent="0.25">
      <c r="A116" s="119" t="s">
        <v>314</v>
      </c>
      <c r="B116" s="118" t="s">
        <v>5964</v>
      </c>
      <c r="C116" s="119" t="s">
        <v>5723</v>
      </c>
      <c r="D116" s="118" t="str">
        <f>VLOOKUP(C116,'1066'!$C$2:$D$1500,2,0)</f>
        <v>V-StrongLumio profil LED Groove 10 alu černý 3000mm (277173)</v>
      </c>
      <c r="E116" s="29"/>
    </row>
    <row r="117" spans="1:5" x14ac:dyDescent="0.25">
      <c r="A117" s="119" t="s">
        <v>295</v>
      </c>
      <c r="B117" s="118" t="s">
        <v>5965</v>
      </c>
      <c r="C117" s="119" t="s">
        <v>5719</v>
      </c>
      <c r="D117" s="118" t="str">
        <f>VLOOKUP(C117,'1066'!$C$2:$D$1500,2,0)</f>
        <v>V-StrongLumio profil LED Groove 10 alu bílý 3000mm (285024)</v>
      </c>
      <c r="E117" s="29"/>
    </row>
    <row r="118" spans="1:5" x14ac:dyDescent="0.25">
      <c r="A118" s="119" t="s">
        <v>294</v>
      </c>
      <c r="B118" s="118" t="s">
        <v>5966</v>
      </c>
      <c r="C118" s="119" t="s">
        <v>5557</v>
      </c>
      <c r="D118" s="118" t="str">
        <f>VLOOKUP(C118,'1066'!$C$2:$D$1500,2,0)</f>
        <v>V-StrongLumio koncovky k liště Groove 10 bílá kulatá (pár) (516781)</v>
      </c>
      <c r="E118" s="29"/>
    </row>
    <row r="119" spans="1:5" x14ac:dyDescent="0.25">
      <c r="A119" s="119" t="s">
        <v>278</v>
      </c>
      <c r="B119" s="118" t="s">
        <v>5967</v>
      </c>
      <c r="C119" s="119" t="s">
        <v>5733</v>
      </c>
      <c r="D119" s="118" t="str">
        <f>VLOOKUP(C119,'1066'!$C$2:$D$1500,2,0)</f>
        <v>V-StrongLumio profil LED Surface 10 alu anodovaný 4050mm (252277)</v>
      </c>
      <c r="E119" s="29"/>
    </row>
    <row r="120" spans="1:5" x14ac:dyDescent="0.25">
      <c r="A120" s="119" t="s">
        <v>236</v>
      </c>
      <c r="B120" s="118" t="s">
        <v>5968</v>
      </c>
      <c r="C120" s="119" t="s">
        <v>5562</v>
      </c>
      <c r="D120" s="118" t="str">
        <f>VLOOKUP(C120,'1066'!$C$2:$D$1500,2,0)</f>
        <v>V-StrongLumio koncovky k liště Surface 10 bílá (pár) (516778)</v>
      </c>
      <c r="E120" s="29"/>
    </row>
    <row r="121" spans="1:5" x14ac:dyDescent="0.25">
      <c r="A121" s="119" t="s">
        <v>379</v>
      </c>
      <c r="B121" s="118" t="s">
        <v>5969</v>
      </c>
      <c r="C121" s="119" t="s">
        <v>5702</v>
      </c>
      <c r="D121" s="118" t="str">
        <f>VLOOKUP(C121,'1066'!$C$2:$D$1500,2,0)</f>
        <v>V-StrongLumio profil LED Corner 10 alu anodovaný 4050mm (252278)</v>
      </c>
      <c r="E121" s="29"/>
    </row>
    <row r="122" spans="1:5" x14ac:dyDescent="0.25">
      <c r="A122" s="119" t="s">
        <v>1151</v>
      </c>
      <c r="B122" s="118" t="s">
        <v>5970</v>
      </c>
      <c r="C122" s="119" t="s">
        <v>6380</v>
      </c>
      <c r="D122" s="118" t="e">
        <f>VLOOKUP(C122,'1066'!$C$2:$D$1500,2,0)</f>
        <v>#N/A</v>
      </c>
      <c r="E122" s="29"/>
    </row>
    <row r="123" spans="1:5" x14ac:dyDescent="0.25">
      <c r="A123" s="119" t="s">
        <v>5153</v>
      </c>
      <c r="B123" s="118" t="s">
        <v>5971</v>
      </c>
      <c r="C123" s="119" t="s">
        <v>4771</v>
      </c>
      <c r="D123" s="118" t="str">
        <f>VLOOKUP(C123,'1066'!$C$2:$D$1500,2,0)</f>
        <v>Místo toho zadávat 552068</v>
      </c>
      <c r="E123" s="29"/>
    </row>
    <row r="124" spans="1:5" x14ac:dyDescent="0.25">
      <c r="A124" s="119" t="s">
        <v>5168</v>
      </c>
      <c r="B124" s="118" t="s">
        <v>5972</v>
      </c>
      <c r="C124" s="119" t="s">
        <v>5675</v>
      </c>
      <c r="D124" s="118" t="e">
        <f>VLOOKUP(C124,'1066'!$C$2:$D$1500,2,0)</f>
        <v>#N/A</v>
      </c>
      <c r="E124" s="29"/>
    </row>
    <row r="125" spans="1:5" x14ac:dyDescent="0.25">
      <c r="A125" s="119" t="s">
        <v>355</v>
      </c>
      <c r="B125" s="118" t="s">
        <v>5973</v>
      </c>
      <c r="C125" s="119" t="s">
        <v>5709</v>
      </c>
      <c r="D125" s="118" t="str">
        <f>VLOOKUP(C125,'1066'!$C$2:$D$1500,2,0)</f>
        <v>V-StrongLumio profil LED Corner 10 alu černý 3000mm (285025)</v>
      </c>
      <c r="E125" s="29"/>
    </row>
    <row r="126" spans="1:5" x14ac:dyDescent="0.25">
      <c r="A126" s="119" t="s">
        <v>345</v>
      </c>
      <c r="B126" s="118" t="s">
        <v>5974</v>
      </c>
      <c r="C126" s="119" t="s">
        <v>5705</v>
      </c>
      <c r="D126" s="118" t="str">
        <f>VLOOKUP(C126,'1066'!$C$2:$D$1500,2,0)</f>
        <v>V-StrongLumio profil LED Corner 10 alu bílý 3000mm (285026)</v>
      </c>
      <c r="E126" s="29"/>
    </row>
    <row r="127" spans="1:5" x14ac:dyDescent="0.25">
      <c r="A127" s="119" t="s">
        <v>344</v>
      </c>
      <c r="B127" s="118" t="s">
        <v>5975</v>
      </c>
      <c r="C127" s="119" t="s">
        <v>5554</v>
      </c>
      <c r="D127" s="118" t="str">
        <f>VLOOKUP(C127,'1066'!$C$2:$D$1500,2,0)</f>
        <v>V-StrongLumio koncovky k liště Corner 10 bílá (pár) (517412)</v>
      </c>
      <c r="E127" s="29"/>
    </row>
    <row r="128" spans="1:5" x14ac:dyDescent="0.25">
      <c r="A128" s="119" t="s">
        <v>5062</v>
      </c>
      <c r="B128" s="118" t="s">
        <v>5976</v>
      </c>
      <c r="C128" s="119" t="s">
        <v>5613</v>
      </c>
      <c r="D128" s="118" t="str">
        <f>VLOOKUP(C128,'1066'!$C$2:$D$1500,2,0)</f>
        <v>V-StrongLumio LED pásek 14,4W/m 24V RGB IP20 (284602)</v>
      </c>
      <c r="E128" s="29"/>
    </row>
    <row r="129" spans="1:5" x14ac:dyDescent="0.25">
      <c r="A129" s="119" t="s">
        <v>5282</v>
      </c>
      <c r="B129" s="118" t="s">
        <v>5977</v>
      </c>
      <c r="C129" s="119" t="s">
        <v>5727</v>
      </c>
      <c r="D129" s="118" t="str">
        <f>VLOOKUP(C129,'1066'!$C$2:$D$1500,2,0)</f>
        <v>V-StrongLumio profil LED Smart alu anodovaný 2000mm (285048)</v>
      </c>
      <c r="E129" s="29"/>
    </row>
    <row r="130" spans="1:5" x14ac:dyDescent="0.25">
      <c r="A130" s="122" t="s">
        <v>5283</v>
      </c>
      <c r="B130" s="123" t="s">
        <v>5978</v>
      </c>
      <c r="C130" s="122" t="s">
        <v>6381</v>
      </c>
      <c r="D130" s="118" t="e">
        <f>VLOOKUP(C130,'1066'!$C$2:$D$1500,2,0)</f>
        <v>#N/A</v>
      </c>
      <c r="E130" s="29"/>
    </row>
    <row r="131" spans="1:5" x14ac:dyDescent="0.25">
      <c r="A131" s="119" t="s">
        <v>4945</v>
      </c>
      <c r="B131" s="118" t="s">
        <v>5979</v>
      </c>
      <c r="C131" s="119" t="s">
        <v>6382</v>
      </c>
      <c r="D131" s="118" t="e">
        <f>VLOOKUP(C131,'1066'!$C$2:$D$1500,2,0)</f>
        <v>#N/A</v>
      </c>
      <c r="E131" s="29"/>
    </row>
    <row r="132" spans="1:5" x14ac:dyDescent="0.25">
      <c r="A132" s="122" t="s">
        <v>4945</v>
      </c>
      <c r="B132" s="123" t="s">
        <v>5979</v>
      </c>
      <c r="C132" s="122" t="s">
        <v>6382</v>
      </c>
      <c r="D132" s="118" t="e">
        <f>VLOOKUP(C132,'1066'!$C$2:$D$1500,2,0)</f>
        <v>#N/A</v>
      </c>
      <c r="E132" s="29"/>
    </row>
    <row r="133" spans="1:5" x14ac:dyDescent="0.25">
      <c r="A133" s="122" t="s">
        <v>258</v>
      </c>
      <c r="B133" s="123" t="s">
        <v>5980</v>
      </c>
      <c r="C133" s="122" t="s">
        <v>5693</v>
      </c>
      <c r="D133" s="118" t="str">
        <f>VLOOKUP(C133,'1066'!$C$2:$D$1500,2,0)</f>
        <v>V-StrongLumio profil LED Begton alu elox 2000mm (285041)</v>
      </c>
      <c r="E133" s="29"/>
    </row>
    <row r="134" spans="1:5" x14ac:dyDescent="0.25">
      <c r="A134" s="122" t="s">
        <v>265</v>
      </c>
      <c r="B134" s="123" t="s">
        <v>5981</v>
      </c>
      <c r="C134" s="122" t="s">
        <v>5694</v>
      </c>
      <c r="D134" s="118" t="str">
        <f>VLOOKUP(C134,'1066'!$C$2:$D$1500,2,0)</f>
        <v>V-StrongLumio profil LED Begton alu elox 3000mm (285044)</v>
      </c>
      <c r="E134" s="29"/>
    </row>
    <row r="135" spans="1:5" x14ac:dyDescent="0.25">
      <c r="A135" s="119" t="s">
        <v>419</v>
      </c>
      <c r="B135" s="118" t="s">
        <v>5982</v>
      </c>
      <c r="C135" s="119" t="s">
        <v>5567</v>
      </c>
      <c r="D135" s="118" t="str">
        <f>VLOOKUP(C135,'1066'!$C$2:$D$1500,2,0)</f>
        <v>V-StrongLumio krycí lišta Begtin/Begton naklap./výsuvná mléčná 2000mm (285052)</v>
      </c>
      <c r="E135" s="29"/>
    </row>
    <row r="136" spans="1:5" x14ac:dyDescent="0.25">
      <c r="A136" s="119" t="s">
        <v>4919</v>
      </c>
      <c r="B136" s="118" t="s">
        <v>5983</v>
      </c>
      <c r="C136" s="119" t="s">
        <v>5551</v>
      </c>
      <c r="D136" s="118" t="str">
        <f>VLOOKUP(C136,'1066'!$C$2:$D$1500,2,0)</f>
        <v>V-StrongLumio koncovky k liště Begton šedá (pár) (285045)</v>
      </c>
      <c r="E136" s="29"/>
    </row>
    <row r="137" spans="1:5" x14ac:dyDescent="0.25">
      <c r="A137" s="119" t="s">
        <v>5172</v>
      </c>
      <c r="B137" s="118" t="s">
        <v>5984</v>
      </c>
      <c r="C137" s="119" t="s">
        <v>5676</v>
      </c>
      <c r="D137" s="118" t="str">
        <f>VLOOKUP(C137,'1066'!$C$2:$D$1500,2,0)</f>
        <v>V-StrongLumio napájecí zdroj pro LED 24V 80W (284619)</v>
      </c>
      <c r="E137" s="29"/>
    </row>
    <row r="138" spans="1:5" x14ac:dyDescent="0.25">
      <c r="A138" s="119" t="s">
        <v>5156</v>
      </c>
      <c r="B138" s="118" t="s">
        <v>5985</v>
      </c>
      <c r="C138" s="119" t="s">
        <v>5661</v>
      </c>
      <c r="D138" s="118" t="str">
        <f>VLOOKUP(C138,'1066'!$C$2:$D$1500,2,0)</f>
        <v>V-StrongLumio napájecí zdroj plochý LED 24V 100W (284624)</v>
      </c>
      <c r="E138" s="29"/>
    </row>
    <row r="139" spans="1:5" x14ac:dyDescent="0.25">
      <c r="A139" s="122" t="s">
        <v>5298</v>
      </c>
      <c r="B139" s="123" t="s">
        <v>5986</v>
      </c>
      <c r="C139" s="122" t="s">
        <v>6383</v>
      </c>
      <c r="D139" s="118" t="e">
        <f>VLOOKUP(C139,'1066'!$C$2:$D$1500,2,0)</f>
        <v>#N/A</v>
      </c>
      <c r="E139" s="29"/>
    </row>
    <row r="140" spans="1:5" x14ac:dyDescent="0.25">
      <c r="A140" s="122" t="s">
        <v>5299</v>
      </c>
      <c r="B140" s="123" t="s">
        <v>5987</v>
      </c>
      <c r="C140" s="122" t="s">
        <v>6384</v>
      </c>
      <c r="D140" s="118" t="e">
        <f>VLOOKUP(C140,'1066'!$C$2:$D$1500,2,0)</f>
        <v>#N/A</v>
      </c>
      <c r="E140" s="29"/>
    </row>
    <row r="141" spans="1:5" x14ac:dyDescent="0.25">
      <c r="A141" s="122" t="s">
        <v>4949</v>
      </c>
      <c r="B141" s="123" t="s">
        <v>5988</v>
      </c>
      <c r="C141" s="122" t="s">
        <v>6385</v>
      </c>
      <c r="D141" s="118" t="e">
        <f>VLOOKUP(C141,'1066'!$C$2:$D$1500,2,0)</f>
        <v>#N/A</v>
      </c>
      <c r="E141" s="29"/>
    </row>
    <row r="142" spans="1:5" x14ac:dyDescent="0.25">
      <c r="A142" s="122" t="s">
        <v>6321</v>
      </c>
      <c r="B142" s="123" t="s">
        <v>5989</v>
      </c>
      <c r="C142" s="122" t="s">
        <v>6386</v>
      </c>
      <c r="D142" s="118" t="e">
        <f>VLOOKUP(C142,'1066'!$C$2:$D$1500,2,0)</f>
        <v>#N/A</v>
      </c>
      <c r="E142" s="29"/>
    </row>
    <row r="143" spans="1:5" x14ac:dyDescent="0.25">
      <c r="A143" s="122" t="s">
        <v>6322</v>
      </c>
      <c r="B143" s="123" t="s">
        <v>5990</v>
      </c>
      <c r="C143" s="122" t="s">
        <v>6387</v>
      </c>
      <c r="D143" s="118" t="e">
        <f>VLOOKUP(C143,'1066'!$C$2:$D$1500,2,0)</f>
        <v>#N/A</v>
      </c>
      <c r="E143" s="29"/>
    </row>
    <row r="144" spans="1:5" x14ac:dyDescent="0.25">
      <c r="A144" s="122" t="s">
        <v>4983</v>
      </c>
      <c r="B144" s="123" t="s">
        <v>5991</v>
      </c>
      <c r="C144" s="122" t="s">
        <v>6388</v>
      </c>
      <c r="D144" s="118" t="e">
        <f>VLOOKUP(C144,'1066'!$C$2:$D$1500,2,0)</f>
        <v>#N/A</v>
      </c>
      <c r="E144" s="29"/>
    </row>
    <row r="145" spans="1:5" x14ac:dyDescent="0.25">
      <c r="A145" s="122" t="s">
        <v>5279</v>
      </c>
      <c r="B145" s="123" t="s">
        <v>5992</v>
      </c>
      <c r="C145" s="122" t="s">
        <v>6389</v>
      </c>
      <c r="D145" s="118" t="e">
        <f>VLOOKUP(C145,'1066'!$C$2:$D$1500,2,0)</f>
        <v>#N/A</v>
      </c>
      <c r="E145" s="29"/>
    </row>
    <row r="146" spans="1:5" x14ac:dyDescent="0.25">
      <c r="A146" s="122" t="s">
        <v>4965</v>
      </c>
      <c r="B146" s="123" t="s">
        <v>5993</v>
      </c>
      <c r="C146" s="122" t="s">
        <v>5589</v>
      </c>
      <c r="D146" s="118" t="str">
        <f>VLOOKUP(C146,'1066'!$C$2:$D$1500,2,0)</f>
        <v>V-StrongLumio krycí lišta k profilu Smart/Slim násuvná průsvitná 3000mm (285031)</v>
      </c>
      <c r="E146" s="29"/>
    </row>
    <row r="147" spans="1:5" x14ac:dyDescent="0.25">
      <c r="A147" s="122" t="s">
        <v>318</v>
      </c>
      <c r="B147" s="123" t="s">
        <v>5994</v>
      </c>
      <c r="C147" s="122" t="s">
        <v>5689</v>
      </c>
      <c r="D147" s="118" t="str">
        <f>VLOOKUP(C147,'1066'!$C$2:$D$1500,2,0)</f>
        <v>V-StrongLumio profil LED Begtin 12 alu elox 2000mm (285034)</v>
      </c>
      <c r="E147" s="29"/>
    </row>
    <row r="148" spans="1:5" x14ac:dyDescent="0.25">
      <c r="A148" s="122" t="s">
        <v>279</v>
      </c>
      <c r="B148" s="123" t="s">
        <v>5995</v>
      </c>
      <c r="C148" s="119" t="s">
        <v>5687</v>
      </c>
      <c r="D148" s="118" t="str">
        <f>VLOOKUP(C148,'1066'!$C$2:$D$1500,2,0)</f>
        <v>V-StrongLumio profil LED Begtin 12 alu bílá 2000mm (285035)</v>
      </c>
      <c r="E148" s="29"/>
    </row>
    <row r="149" spans="1:5" x14ac:dyDescent="0.25">
      <c r="A149" s="122" t="s">
        <v>298</v>
      </c>
      <c r="B149" s="123" t="s">
        <v>5996</v>
      </c>
      <c r="C149" s="122" t="s">
        <v>5688</v>
      </c>
      <c r="D149" s="118" t="str">
        <f>VLOOKUP(C149,'1066'!$C$2:$D$1500,2,0)</f>
        <v>V-StrongLumio profil LED Begtin 12 alu černá 2000mm (285036)</v>
      </c>
      <c r="E149" s="29"/>
    </row>
    <row r="150" spans="1:5" x14ac:dyDescent="0.25">
      <c r="A150" s="122" t="s">
        <v>325</v>
      </c>
      <c r="B150" s="123" t="s">
        <v>5997</v>
      </c>
      <c r="C150" s="122" t="s">
        <v>5690</v>
      </c>
      <c r="D150" s="118" t="str">
        <f>VLOOKUP(C150,'1066'!$C$2:$D$1500,2,0)</f>
        <v>V-StrongLumio profil LED Begtin 12 alu elox 3000mm (285037)</v>
      </c>
      <c r="E150" s="29"/>
    </row>
    <row r="151" spans="1:5" x14ac:dyDescent="0.25">
      <c r="A151" s="122" t="s">
        <v>324</v>
      </c>
      <c r="B151" s="123" t="s">
        <v>5998</v>
      </c>
      <c r="C151" s="122" t="s">
        <v>5548</v>
      </c>
      <c r="D151" s="118" t="str">
        <f>VLOOKUP(C151,'1066'!$C$2:$D$1500,2,0)</f>
        <v>V-StrongLumio koncovky k liště Begtin 12 šedá (pár) (285038)</v>
      </c>
      <c r="E151" s="29"/>
    </row>
    <row r="152" spans="1:5" x14ac:dyDescent="0.25">
      <c r="A152" s="122" t="s">
        <v>286</v>
      </c>
      <c r="B152" s="123" t="s">
        <v>5999</v>
      </c>
      <c r="C152" s="122" t="s">
        <v>5546</v>
      </c>
      <c r="D152" s="118" t="str">
        <f>VLOOKUP(C152,'1066'!$C$2:$D$1500,2,0)</f>
        <v>V-StrongLumio koncovky k liště Begtin 12 bílá (pár) (285039)</v>
      </c>
      <c r="E152" s="29"/>
    </row>
    <row r="153" spans="1:5" x14ac:dyDescent="0.25">
      <c r="A153" s="122" t="s">
        <v>304</v>
      </c>
      <c r="B153" s="123" t="s">
        <v>6000</v>
      </c>
      <c r="C153" s="122" t="s">
        <v>5547</v>
      </c>
      <c r="D153" s="118" t="str">
        <f>VLOOKUP(C153,'1066'!$C$2:$D$1500,2,0)</f>
        <v>V-StrongLumio koncovky k liště Begtin 12 černá (pár) (285040)</v>
      </c>
      <c r="E153" s="29"/>
    </row>
    <row r="154" spans="1:5" x14ac:dyDescent="0.25">
      <c r="A154" s="122" t="s">
        <v>4917</v>
      </c>
      <c r="B154" s="123" t="s">
        <v>6001</v>
      </c>
      <c r="C154" s="122" t="s">
        <v>5549</v>
      </c>
      <c r="D154" s="118" t="str">
        <f>VLOOKUP(C154,'1066'!$C$2:$D$1500,2,0)</f>
        <v>V-StrongLumio koncovky k liště Begton bílá (pár) (285046)</v>
      </c>
      <c r="E154" s="29"/>
    </row>
    <row r="155" spans="1:5" x14ac:dyDescent="0.25">
      <c r="A155" s="122" t="s">
        <v>4918</v>
      </c>
      <c r="B155" s="123" t="s">
        <v>6002</v>
      </c>
      <c r="C155" s="122" t="s">
        <v>5550</v>
      </c>
      <c r="D155" s="118" t="str">
        <f>VLOOKUP(C155,'1066'!$C$2:$D$1500,2,0)</f>
        <v>V-StrongLumio koncovky k liště Begton černá (pár) (285047)</v>
      </c>
      <c r="E155" s="29"/>
    </row>
    <row r="156" spans="1:5" x14ac:dyDescent="0.25">
      <c r="A156" s="122" t="s">
        <v>221</v>
      </c>
      <c r="B156" s="123" t="s">
        <v>6003</v>
      </c>
      <c r="C156" s="122" t="s">
        <v>5691</v>
      </c>
      <c r="D156" s="118" t="str">
        <f>VLOOKUP(C156,'1066'!$C$2:$D$1500,2,0)</f>
        <v>V-StrongLumio profil LED Begton alu bílá 2000mm (285042)</v>
      </c>
      <c r="E156" s="29"/>
    </row>
    <row r="157" spans="1:5" x14ac:dyDescent="0.25">
      <c r="A157" s="122" t="s">
        <v>239</v>
      </c>
      <c r="B157" s="123" t="s">
        <v>6004</v>
      </c>
      <c r="C157" s="122" t="s">
        <v>5692</v>
      </c>
      <c r="D157" s="118" t="str">
        <f>VLOOKUP(C157,'1066'!$C$2:$D$1500,2,0)</f>
        <v>V-StrongLumio profil LED Begton alu černá 2000mm (285043)</v>
      </c>
      <c r="E157" s="29"/>
    </row>
    <row r="158" spans="1:5" x14ac:dyDescent="0.25">
      <c r="A158" s="122" t="s">
        <v>5280</v>
      </c>
      <c r="B158" s="123" t="s">
        <v>6005</v>
      </c>
      <c r="C158" s="122" t="s">
        <v>6390</v>
      </c>
      <c r="D158" s="118" t="e">
        <f>VLOOKUP(C158,'1066'!$C$2:$D$1500,2,0)</f>
        <v>#N/A</v>
      </c>
      <c r="E158" s="29"/>
    </row>
    <row r="159" spans="1:5" x14ac:dyDescent="0.25">
      <c r="A159" s="122" t="s">
        <v>5281</v>
      </c>
      <c r="B159" s="123" t="s">
        <v>6006</v>
      </c>
      <c r="C159" s="122" t="s">
        <v>5728</v>
      </c>
      <c r="D159" s="118" t="str">
        <f>VLOOKUP(C159,'1066'!$C$2:$D$1500,2,0)</f>
        <v>V-StrongLumio profil LED Smart alu černá 2000mm (285050)</v>
      </c>
      <c r="E159" s="29"/>
    </row>
    <row r="160" spans="1:5" x14ac:dyDescent="0.25">
      <c r="A160" s="122" t="s">
        <v>426</v>
      </c>
      <c r="B160" s="123" t="s">
        <v>6007</v>
      </c>
      <c r="C160" s="122" t="s">
        <v>5568</v>
      </c>
      <c r="D160" s="118" t="str">
        <f>VLOOKUP(C160,'1066'!$C$2:$D$1500,2,0)</f>
        <v>V-StrongLumio krycí lišta Begtin/Begton naklap/výsuvná průsvitná 2000mm (285053)</v>
      </c>
      <c r="E160" s="29"/>
    </row>
    <row r="161" spans="1:5" x14ac:dyDescent="0.25">
      <c r="A161" s="122" t="s">
        <v>433</v>
      </c>
      <c r="B161" s="123" t="s">
        <v>6008</v>
      </c>
      <c r="C161" s="122" t="s">
        <v>5569</v>
      </c>
      <c r="D161" s="118" t="str">
        <f>VLOOKUP(C161,'1066'!$C$2:$D$1500,2,0)</f>
        <v>V-StrongLumio krycí lišta Begtin/Begton naklap/výsuvná průsvitná 3000mm (285055)</v>
      </c>
      <c r="E161" s="29"/>
    </row>
    <row r="162" spans="1:5" x14ac:dyDescent="0.25">
      <c r="A162" s="122" t="s">
        <v>4943</v>
      </c>
      <c r="B162" s="123" t="s">
        <v>6009</v>
      </c>
      <c r="C162" s="122" t="s">
        <v>6391</v>
      </c>
      <c r="D162" s="118" t="e">
        <f>VLOOKUP(C162,'1066'!$C$2:$D$1500,2,0)</f>
        <v>#N/A</v>
      </c>
      <c r="E162" s="29"/>
    </row>
    <row r="163" spans="1:5" x14ac:dyDescent="0.25">
      <c r="A163" s="122" t="s">
        <v>4944</v>
      </c>
      <c r="B163" s="123" t="s">
        <v>6010</v>
      </c>
      <c r="C163" s="122" t="s">
        <v>6392</v>
      </c>
      <c r="D163" s="118" t="e">
        <f>VLOOKUP(C163,'1066'!$C$2:$D$1500,2,0)</f>
        <v>#N/A</v>
      </c>
      <c r="E163" s="29"/>
    </row>
    <row r="164" spans="1:5" x14ac:dyDescent="0.25">
      <c r="A164" s="122" t="s">
        <v>5433</v>
      </c>
      <c r="B164" s="123" t="s">
        <v>6011</v>
      </c>
      <c r="C164" s="122" t="s">
        <v>6393</v>
      </c>
      <c r="D164" s="118" t="e">
        <f>VLOOKUP(C164,'1066'!$C$2:$D$1500,2,0)</f>
        <v>#N/A</v>
      </c>
      <c r="E164" s="29"/>
    </row>
    <row r="165" spans="1:5" x14ac:dyDescent="0.25">
      <c r="A165" s="122" t="s">
        <v>5434</v>
      </c>
      <c r="B165" s="123" t="s">
        <v>6012</v>
      </c>
      <c r="C165" s="122" t="s">
        <v>6394</v>
      </c>
      <c r="D165" s="118" t="e">
        <f>VLOOKUP(C165,'1066'!$C$2:$D$1500,2,0)</f>
        <v>#N/A</v>
      </c>
      <c r="E165" s="29"/>
    </row>
    <row r="166" spans="1:5" x14ac:dyDescent="0.25">
      <c r="A166" s="122" t="s">
        <v>5239</v>
      </c>
      <c r="B166" s="123" t="s">
        <v>6013</v>
      </c>
      <c r="C166" s="122" t="s">
        <v>6395</v>
      </c>
      <c r="D166" s="118" t="e">
        <f>VLOOKUP(C166,'1066'!$C$2:$D$1500,2,0)</f>
        <v>#N/A</v>
      </c>
      <c r="E166" s="29"/>
    </row>
    <row r="167" spans="1:5" x14ac:dyDescent="0.25">
      <c r="A167" s="122" t="s">
        <v>5012</v>
      </c>
      <c r="B167" s="123" t="s">
        <v>6014</v>
      </c>
      <c r="C167" s="122" t="s">
        <v>6396</v>
      </c>
      <c r="D167" s="118" t="e">
        <f>VLOOKUP(C167,'1066'!$C$2:$D$1500,2,0)</f>
        <v>#N/A</v>
      </c>
      <c r="E167" s="29"/>
    </row>
    <row r="168" spans="1:5" x14ac:dyDescent="0.25">
      <c r="A168" s="122" t="s">
        <v>4929</v>
      </c>
      <c r="B168" s="123" t="s">
        <v>6015</v>
      </c>
      <c r="C168" s="122" t="s">
        <v>6397</v>
      </c>
      <c r="D168" s="118" t="e">
        <f>VLOOKUP(C168,'1066'!$C$2:$D$1500,2,0)</f>
        <v>#N/A</v>
      </c>
      <c r="E168" s="29"/>
    </row>
    <row r="169" spans="1:5" x14ac:dyDescent="0.25">
      <c r="A169" s="122" t="s">
        <v>367</v>
      </c>
      <c r="B169" s="123" t="s">
        <v>6016</v>
      </c>
      <c r="C169" s="122" t="s">
        <v>5553</v>
      </c>
      <c r="D169" s="118" t="str">
        <f>VLOOKUP(C169,'1066'!$C$2:$D$1500,2,0)</f>
        <v>V-StrongLumio koncovky k liště Cabi šedá (pár) (285085)</v>
      </c>
      <c r="E169" s="29"/>
    </row>
    <row r="170" spans="1:5" x14ac:dyDescent="0.25">
      <c r="A170" s="122" t="s">
        <v>359</v>
      </c>
      <c r="B170" s="123" t="s">
        <v>6017</v>
      </c>
      <c r="C170" s="122" t="s">
        <v>5697</v>
      </c>
      <c r="D170" s="118" t="str">
        <f>VLOOKUP(C170,'1066'!$C$2:$D$1500,2,0)</f>
        <v>V-StrongLumio profil LED Cabi12 E alu anodovaný 2000mm (285082)</v>
      </c>
      <c r="E170" s="29"/>
    </row>
    <row r="171" spans="1:5" x14ac:dyDescent="0.25">
      <c r="A171" s="122" t="s">
        <v>441</v>
      </c>
      <c r="B171" s="123" t="s">
        <v>6018</v>
      </c>
      <c r="C171" s="122" t="s">
        <v>5586</v>
      </c>
      <c r="D171" s="118" t="str">
        <f>VLOOKUP(C171,'1066'!$C$2:$D$1500,2,0)</f>
        <v>V-StrongLumio krycí lišta k profilu Cabi naklap/výsuvná mléčná 2000mm (285084)</v>
      </c>
      <c r="E171" s="29"/>
    </row>
    <row r="172" spans="1:5" x14ac:dyDescent="0.25">
      <c r="A172" s="122" t="s">
        <v>435</v>
      </c>
      <c r="B172" s="123" t="s">
        <v>6019</v>
      </c>
      <c r="C172" s="122" t="s">
        <v>5587</v>
      </c>
      <c r="D172" s="118" t="str">
        <f>VLOOKUP(C172,'1066'!$C$2:$D$1500,2,0)</f>
        <v>V-StrongLumio krycí lišta k profilu Cabi naklap/výsuvná průsvitná2000mm (285083)</v>
      </c>
      <c r="E172" s="29"/>
    </row>
    <row r="173" spans="1:5" x14ac:dyDescent="0.25">
      <c r="A173" s="119" t="s">
        <v>5341</v>
      </c>
      <c r="B173" s="118" t="s">
        <v>6020</v>
      </c>
      <c r="C173" s="119" t="s">
        <v>5513</v>
      </c>
      <c r="D173" s="118" t="str">
        <f>VLOOKUP(C173,'1066'!$C$2:$D$1500,2,0)</f>
        <v>V-SAL rozvaděč LED 6x Mini konektor Jack 0,5m (285093)</v>
      </c>
      <c r="E173" s="29"/>
    </row>
    <row r="174" spans="1:5" x14ac:dyDescent="0.25">
      <c r="A174" s="119" t="s">
        <v>5329</v>
      </c>
      <c r="B174" s="118" t="s">
        <v>3080</v>
      </c>
      <c r="C174" s="119" t="s">
        <v>5752</v>
      </c>
      <c r="D174" s="118" t="str">
        <f>VLOOKUP(C174,'1066'!$C$2:$D$1500,2,0)</f>
        <v>V-StrongLumio připojovací kabel 1,8m Mini konektor (543616)</v>
      </c>
      <c r="E174" s="29"/>
    </row>
    <row r="175" spans="1:5" x14ac:dyDescent="0.25">
      <c r="A175" s="119" t="s">
        <v>5193</v>
      </c>
      <c r="B175" s="118" t="s">
        <v>6021</v>
      </c>
      <c r="C175" s="119" t="s">
        <v>5685</v>
      </c>
      <c r="D175" s="118" t="str">
        <f>VLOOKUP(C175,'1066'!$C$2:$D$1500,2,0)</f>
        <v>V-StrongLumio prodlužovací kabel 1,8m Mini konektor (285110)</v>
      </c>
      <c r="E175" s="29"/>
    </row>
    <row r="176" spans="1:5" x14ac:dyDescent="0.25">
      <c r="A176" s="122" t="s">
        <v>5189</v>
      </c>
      <c r="B176" s="123" t="s">
        <v>6022</v>
      </c>
      <c r="C176" s="122" t="s">
        <v>5684</v>
      </c>
      <c r="D176" s="118" t="str">
        <f>VLOOKUP(C176,'1066'!$C$2:$D$1500,2,0)</f>
        <v>V-StrongLumio Power dálkový ovladač/stmívač 1x25A (284572)</v>
      </c>
      <c r="E176" s="29"/>
    </row>
    <row r="177" spans="1:5" x14ac:dyDescent="0.25">
      <c r="A177" s="119" t="s">
        <v>5054</v>
      </c>
      <c r="B177" s="118" t="s">
        <v>6023</v>
      </c>
      <c r="C177" s="119" t="s">
        <v>5595</v>
      </c>
      <c r="D177" s="118" t="str">
        <f>VLOOKUP(C177,'1066'!$C$2:$D$1500,2,0)</f>
        <v>V-StrongLumio LED pásek 12W/m (120) 24V bílá studená (284562)</v>
      </c>
      <c r="E177" s="29"/>
    </row>
    <row r="178" spans="1:5" x14ac:dyDescent="0.25">
      <c r="A178" s="119" t="s">
        <v>5055</v>
      </c>
      <c r="B178" s="118" t="s">
        <v>6024</v>
      </c>
      <c r="C178" s="119" t="s">
        <v>5596</v>
      </c>
      <c r="D178" s="118" t="str">
        <f>VLOOKUP(C178,'1066'!$C$2:$D$1500,2,0)</f>
        <v>V-StrongLumio LED pásek 12W/m (120) 24V bílá teplá (284560)</v>
      </c>
      <c r="E178" s="29"/>
    </row>
    <row r="179" spans="1:5" x14ac:dyDescent="0.25">
      <c r="A179" s="119" t="s">
        <v>5080</v>
      </c>
      <c r="B179" s="118" t="s">
        <v>6025</v>
      </c>
      <c r="C179" s="119" t="s">
        <v>5639</v>
      </c>
      <c r="D179" s="118" t="str">
        <f>VLOOKUP(C179,'1066'!$C$2:$D$1500,2,0)</f>
        <v>V-StrongLumio LED pásek 6W/m 24V bílá teplá (284554)</v>
      </c>
      <c r="E179" s="29"/>
    </row>
    <row r="180" spans="1:5" x14ac:dyDescent="0.25">
      <c r="A180" s="119" t="s">
        <v>5079</v>
      </c>
      <c r="B180" s="118" t="s">
        <v>6026</v>
      </c>
      <c r="C180" s="119" t="s">
        <v>5638</v>
      </c>
      <c r="D180" s="118" t="str">
        <f>VLOOKUP(C180,'1066'!$C$2:$D$1500,2,0)</f>
        <v>V-StrongLumio LED pásek 6W/m 24V bílá studená (284556)</v>
      </c>
      <c r="E180" s="29"/>
    </row>
    <row r="181" spans="1:5" x14ac:dyDescent="0.25">
      <c r="A181" s="119" t="s">
        <v>5063</v>
      </c>
      <c r="B181" s="118" t="s">
        <v>6027</v>
      </c>
      <c r="C181" s="119" t="s">
        <v>6398</v>
      </c>
      <c r="D181" s="118" t="e">
        <f>VLOOKUP(C181,'1066'!$C$2:$D$1500,2,0)</f>
        <v>#N/A</v>
      </c>
      <c r="E181" s="29"/>
    </row>
    <row r="182" spans="1:5" x14ac:dyDescent="0.25">
      <c r="A182" s="119" t="s">
        <v>5032</v>
      </c>
      <c r="B182" s="118" t="s">
        <v>6028</v>
      </c>
      <c r="C182" s="119" t="s">
        <v>6399</v>
      </c>
      <c r="D182" s="118" t="e">
        <f>VLOOKUP(C182,'1066'!$C$2:$D$1500,2,0)</f>
        <v>#N/A</v>
      </c>
      <c r="E182" s="29"/>
    </row>
    <row r="183" spans="1:5" x14ac:dyDescent="0.25">
      <c r="A183" s="119" t="s">
        <v>6323</v>
      </c>
      <c r="B183" s="118" t="s">
        <v>6029</v>
      </c>
      <c r="C183" s="119" t="s">
        <v>6400</v>
      </c>
      <c r="D183" s="118" t="e">
        <f>VLOOKUP(C183,'1066'!$C$2:$D$1500,2,0)</f>
        <v>#N/A</v>
      </c>
      <c r="E183" s="29"/>
    </row>
    <row r="184" spans="1:5" x14ac:dyDescent="0.25">
      <c r="A184" s="119" t="s">
        <v>5031</v>
      </c>
      <c r="B184" s="118" t="s">
        <v>6030</v>
      </c>
      <c r="C184" s="119" t="s">
        <v>5590</v>
      </c>
      <c r="D184" s="118" t="str">
        <f>VLOOKUP(C184,'1066'!$C$2:$D$1500,2,0)</f>
        <v>V-StrongLumio LED mechanický vypínač 12/24V do profilů 90W/180W (312317)</v>
      </c>
      <c r="E184" s="29"/>
    </row>
    <row r="185" spans="1:5" x14ac:dyDescent="0.25">
      <c r="A185" s="119" t="s">
        <v>5077</v>
      </c>
      <c r="B185" s="118" t="s">
        <v>6031</v>
      </c>
      <c r="C185" s="119" t="s">
        <v>5641</v>
      </c>
      <c r="D185" s="118" t="str">
        <f>VLOOKUP(C185,'1066'!$C$2:$D$1500,2,0)</f>
        <v>V-StrongLumio LED pásek 6W/m 24V CC CRI90 bílá teplá 120 LED/m (355846)</v>
      </c>
      <c r="E185" s="29"/>
    </row>
    <row r="186" spans="1:5" x14ac:dyDescent="0.25">
      <c r="A186" s="119" t="s">
        <v>5075</v>
      </c>
      <c r="B186" s="118" t="s">
        <v>6032</v>
      </c>
      <c r="C186" s="119" t="s">
        <v>5515</v>
      </c>
      <c r="D186" s="118" t="str">
        <f>VLOOKUP(C186,'1066'!$C$2:$D$1500,2,0)</f>
        <v>V-STRONG plus LED pásek 6W/m 24V CC CRI90 bílá neutrální 120 LED/m (355847)</v>
      </c>
      <c r="E186" s="29"/>
    </row>
    <row r="187" spans="1:5" x14ac:dyDescent="0.25">
      <c r="A187" s="119" t="s">
        <v>5076</v>
      </c>
      <c r="B187" s="118" t="s">
        <v>6033</v>
      </c>
      <c r="C187" s="119" t="s">
        <v>5640</v>
      </c>
      <c r="D187" s="118" t="str">
        <f>VLOOKUP(C187,'1066'!$C$2:$D$1500,2,0)</f>
        <v>V-StrongLumio LED pásek 6W/m 24V CC CRI90 bílá studená 120 LED/m (355848)</v>
      </c>
      <c r="E187" s="29"/>
    </row>
    <row r="188" spans="1:5" x14ac:dyDescent="0.25">
      <c r="A188" s="119" t="s">
        <v>5060</v>
      </c>
      <c r="B188" s="118" t="s">
        <v>6034</v>
      </c>
      <c r="C188" s="119" t="s">
        <v>5612</v>
      </c>
      <c r="D188" s="118" t="str">
        <f>VLOOKUP(C188,'1066'!$C$2:$D$1500,2,0)</f>
        <v>V-StrongLumio LED pásek 14,4W/m 24V CRI90 bílá teplá 120 LED/m (355849)</v>
      </c>
      <c r="E188" s="29"/>
    </row>
    <row r="189" spans="1:5" x14ac:dyDescent="0.25">
      <c r="A189" s="119" t="s">
        <v>5058</v>
      </c>
      <c r="B189" s="118" t="s">
        <v>6035</v>
      </c>
      <c r="C189" s="119" t="s">
        <v>5610</v>
      </c>
      <c r="D189" s="118" t="str">
        <f>VLOOKUP(C189,'1066'!$C$2:$D$1500,2,0)</f>
        <v>V-StrongLumio LED pásek 14,4W/m 24V CRI90 bílá neutrální 120 LED/m (355850)</v>
      </c>
      <c r="E189" s="29"/>
    </row>
    <row r="190" spans="1:5" x14ac:dyDescent="0.25">
      <c r="A190" s="119" t="s">
        <v>5059</v>
      </c>
      <c r="B190" s="118" t="s">
        <v>6036</v>
      </c>
      <c r="C190" s="119" t="s">
        <v>5611</v>
      </c>
      <c r="D190" s="118" t="str">
        <f>VLOOKUP(C190,'1066'!$C$2:$D$1500,2,0)</f>
        <v>V-StrongLumio LED pásek 14,4W/m 24V CRI90 bílá studená 120 LED/m (355851)</v>
      </c>
      <c r="E190" s="29"/>
    </row>
    <row r="191" spans="1:5" x14ac:dyDescent="0.25">
      <c r="A191" s="119" t="s">
        <v>5071</v>
      </c>
      <c r="B191" s="118" t="s">
        <v>6037</v>
      </c>
      <c r="C191" s="119" t="s">
        <v>5617</v>
      </c>
      <c r="D191" s="118" t="str">
        <f>VLOOKUP(C191,'1066'!$C$2:$D$1500,2,0)</f>
        <v>V-StrongLumio LED pásek 21,6W/m 24V CRI90 bílá teplá 210 LED/m</v>
      </c>
      <c r="E191" s="29"/>
    </row>
    <row r="192" spans="1:5" x14ac:dyDescent="0.25">
      <c r="A192" s="119" t="s">
        <v>5069</v>
      </c>
      <c r="B192" s="118" t="s">
        <v>6038</v>
      </c>
      <c r="C192" s="119" t="s">
        <v>5615</v>
      </c>
      <c r="D192" s="118" t="str">
        <f>VLOOKUP(C192,'1066'!$C$2:$D$1500,2,0)</f>
        <v>V-StrongLumio LED pásek 21,6W/m 24V CRI90 bílá neutrální 210 LED/m</v>
      </c>
      <c r="E192" s="29"/>
    </row>
    <row r="193" spans="1:5" x14ac:dyDescent="0.25">
      <c r="A193" s="119" t="s">
        <v>5070</v>
      </c>
      <c r="B193" s="118" t="s">
        <v>6039</v>
      </c>
      <c r="C193" s="119" t="s">
        <v>5616</v>
      </c>
      <c r="D193" s="118" t="str">
        <f>VLOOKUP(C193,'1066'!$C$2:$D$1500,2,0)</f>
        <v>V-StrongLumio LED pásek 21,6W/m 24V CRI90 bílá studená 210 LED/m (355855)</v>
      </c>
      <c r="E193" s="29"/>
    </row>
    <row r="194" spans="1:5" x14ac:dyDescent="0.25">
      <c r="A194" s="119" t="s">
        <v>5183</v>
      </c>
      <c r="B194" s="118" t="s">
        <v>6040</v>
      </c>
      <c r="C194" s="119" t="s">
        <v>5681</v>
      </c>
      <c r="D194" s="118" t="str">
        <f>VLOOKUP(C194,'1066'!$C$2:$D$1500,2,0)</f>
        <v>V-StrongLumio pohybový senzor do profilu 12-24V, 8A (405196)</v>
      </c>
      <c r="E194" s="29"/>
    </row>
    <row r="195" spans="1:5" x14ac:dyDescent="0.25">
      <c r="A195" s="119" t="s">
        <v>4844</v>
      </c>
      <c r="B195" s="118" t="s">
        <v>1243</v>
      </c>
      <c r="C195" s="119" t="s">
        <v>5517</v>
      </c>
      <c r="D195" s="118" t="str">
        <f>VLOOKUP(C195,'1066'!$C$2:$D$1500,2,0)</f>
        <v>V-StrongLumio All in One unit 24V 100W (stmívání) (486289)</v>
      </c>
      <c r="E195" s="29"/>
    </row>
    <row r="196" spans="1:5" x14ac:dyDescent="0.25">
      <c r="A196" s="119" t="s">
        <v>4842</v>
      </c>
      <c r="B196" s="118" t="s">
        <v>1241</v>
      </c>
      <c r="C196" s="119" t="s">
        <v>5516</v>
      </c>
      <c r="D196" s="118" t="str">
        <f>VLOOKUP(C196,'1066'!$C$2:$D$1500,2,0)</f>
        <v>V-StrongLumio All in One unit 24V 100W (RGBCCT) (486293)</v>
      </c>
      <c r="E196" s="29"/>
    </row>
    <row r="197" spans="1:5" x14ac:dyDescent="0.25">
      <c r="A197" s="119" t="s">
        <v>5319</v>
      </c>
      <c r="B197" s="118" t="s">
        <v>3046</v>
      </c>
      <c r="C197" s="119" t="s">
        <v>5747</v>
      </c>
      <c r="D197" s="118" t="str">
        <f>VLOOKUP(C197,'1066'!$C$2:$D$1500,2,0)</f>
        <v>V-StrongLumio propojovací kabel k All in One jednotce - RGBCCT 2m (487574)</v>
      </c>
      <c r="E197" s="29"/>
    </row>
    <row r="198" spans="1:5" x14ac:dyDescent="0.25">
      <c r="A198" s="119" t="s">
        <v>4766</v>
      </c>
      <c r="B198" s="118" t="s">
        <v>1027</v>
      </c>
      <c r="C198" s="119" t="s">
        <v>5509</v>
      </c>
      <c r="D198" s="118" t="str">
        <f>VLOOKUP(C198,'1066'!$C$2:$D$1500,2,0)</f>
        <v>V-MEAN WELL napájecí zdroj HLG-320H-24-A, 24V, 320W, IP67 (482686)</v>
      </c>
      <c r="E198" s="29"/>
    </row>
    <row r="199" spans="1:5" x14ac:dyDescent="0.25">
      <c r="A199" s="119" t="s">
        <v>4770</v>
      </c>
      <c r="B199" s="118" t="s">
        <v>1043</v>
      </c>
      <c r="C199" s="119" t="s">
        <v>5511</v>
      </c>
      <c r="D199" s="118" t="str">
        <f>VLOOKUP(C199,'1066'!$C$2:$D$1500,2,0)</f>
        <v>V-MEAN WELL napájecí zdroj XLG-200-24-A, 24V, 200W, IP67 (482683)</v>
      </c>
      <c r="E199" s="29"/>
    </row>
    <row r="200" spans="1:5" x14ac:dyDescent="0.25">
      <c r="A200" s="124" t="s">
        <v>4770</v>
      </c>
      <c r="B200" s="125" t="s">
        <v>1043</v>
      </c>
      <c r="C200" s="124" t="s">
        <v>5511</v>
      </c>
      <c r="D200" s="118" t="str">
        <f>VLOOKUP(C200,'1066'!$C$2:$D$1500,2,0)</f>
        <v>V-MEAN WELL napájecí zdroj XLG-200-24-A, 24V, 200W, IP67 (482683)</v>
      </c>
      <c r="E200" s="29"/>
    </row>
    <row r="201" spans="1:5" x14ac:dyDescent="0.25">
      <c r="A201" s="119" t="s">
        <v>5101</v>
      </c>
      <c r="B201" s="118" t="s">
        <v>6041</v>
      </c>
      <c r="C201" s="119" t="s">
        <v>5630</v>
      </c>
      <c r="D201" s="118" t="str">
        <f>VLOOKUP(C201,'1066'!$C$2:$D$1500,2,0)</f>
        <v>V-StrongLumio LED pásek 24V COB 8W/m (320 LED/m) 5mm, bílá neutrální (544585)</v>
      </c>
      <c r="E201" s="29"/>
    </row>
    <row r="202" spans="1:5" x14ac:dyDescent="0.25">
      <c r="A202" s="119" t="s">
        <v>4768</v>
      </c>
      <c r="B202" s="118" t="s">
        <v>1035</v>
      </c>
      <c r="C202" s="119" t="s">
        <v>5510</v>
      </c>
      <c r="D202" s="118" t="str">
        <f>VLOOKUP(C202,'1066'!$C$2:$D$1500,2,0)</f>
        <v>V-MEAN WELL napájecí zdroj XLG-150-24-A, 24V, 150W, IP67 (482670)</v>
      </c>
      <c r="E202" s="29"/>
    </row>
    <row r="203" spans="1:5" x14ac:dyDescent="0.25">
      <c r="A203" s="124" t="s">
        <v>5088</v>
      </c>
      <c r="B203" s="125" t="s">
        <v>2118</v>
      </c>
      <c r="C203" s="124" t="s">
        <v>5646</v>
      </c>
      <c r="D203" s="118" t="str">
        <f>VLOOKUP(C203,'1066'!$C$2:$D$1500,2,0)</f>
        <v>V-StrongLumio LED pásek COB 24V 10+10W/m (576 LED/m) - 8mm 2PIN CCT (544705)</v>
      </c>
      <c r="E203" s="29"/>
    </row>
    <row r="204" spans="1:5" x14ac:dyDescent="0.25">
      <c r="A204" s="124" t="s">
        <v>5325</v>
      </c>
      <c r="B204" s="125" t="s">
        <v>3066</v>
      </c>
      <c r="C204" s="124" t="s">
        <v>5749</v>
      </c>
      <c r="D204" s="118" t="str">
        <f>VLOOKUP(C204,'1066'!$C$2:$D$1500,2,0)</f>
        <v>V-StrongLumio přijímač pro bezdrát. samonapáj. vypínače 12/24V 2PIN CCT (546641)</v>
      </c>
      <c r="E204" s="29"/>
    </row>
    <row r="205" spans="1:5" x14ac:dyDescent="0.25">
      <c r="A205" s="124" t="s">
        <v>4863</v>
      </c>
      <c r="B205" s="125" t="s">
        <v>1301</v>
      </c>
      <c r="C205" s="124" t="s">
        <v>5520</v>
      </c>
      <c r="D205" s="118" t="str">
        <f>VLOOKUP(C205,'1066'!$C$2:$D$1500,2,0)</f>
        <v>V-StrongLumio bezdrátový vypínač samonapájecí - 2 tlačítka bílá</v>
      </c>
      <c r="E205" s="29"/>
    </row>
    <row r="206" spans="1:5" x14ac:dyDescent="0.25">
      <c r="A206" s="119" t="s">
        <v>6324</v>
      </c>
      <c r="B206" s="118" t="s">
        <v>6042</v>
      </c>
      <c r="C206" s="119" t="s">
        <v>6043</v>
      </c>
      <c r="D206" s="118" t="e">
        <f>VLOOKUP(C206,'1066'!$C$2:$D$1500,2,0)</f>
        <v>#N/A</v>
      </c>
      <c r="E206" s="29"/>
    </row>
    <row r="207" spans="1:5" x14ac:dyDescent="0.25">
      <c r="A207" s="119" t="s">
        <v>5178</v>
      </c>
      <c r="B207" s="118" t="s">
        <v>2363</v>
      </c>
      <c r="C207" s="119" t="s">
        <v>5677</v>
      </c>
      <c r="D207" s="118" t="str">
        <f>VLOOKUP(C207,'1066'!$C$2:$D$1500,2,0)</f>
        <v>V-StrongLumio plochý RGB kabel (čtyřlinka) (276497)</v>
      </c>
      <c r="E207" s="29"/>
    </row>
    <row r="208" spans="1:5" x14ac:dyDescent="0.25">
      <c r="A208" s="119" t="s">
        <v>337</v>
      </c>
      <c r="B208" s="118" t="s">
        <v>5959</v>
      </c>
      <c r="C208" s="119" t="s">
        <v>6044</v>
      </c>
      <c r="D208" s="118" t="e">
        <f>VLOOKUP(C208,'1066'!$C$2:$D$1500,2,0)</f>
        <v>#N/A</v>
      </c>
      <c r="E208" s="29"/>
    </row>
    <row r="209" spans="1:5" x14ac:dyDescent="0.25">
      <c r="A209" s="119" t="s">
        <v>409</v>
      </c>
      <c r="B209" s="118" t="s">
        <v>5960</v>
      </c>
      <c r="C209" s="119" t="s">
        <v>6045</v>
      </c>
      <c r="D209" s="118" t="e">
        <f>VLOOKUP(C209,'1066'!$C$2:$D$1500,2,0)</f>
        <v>#N/A</v>
      </c>
      <c r="E209" s="29"/>
    </row>
    <row r="210" spans="1:5" x14ac:dyDescent="0.25">
      <c r="A210" s="119" t="s">
        <v>5777</v>
      </c>
      <c r="B210" s="118" t="s">
        <v>4677</v>
      </c>
      <c r="C210" s="119" t="s">
        <v>5774</v>
      </c>
      <c r="D210" s="118" t="str">
        <f>VLOOKUP(C210,'1066'!$C$2:$D$1500,2,0)</f>
        <v>V-Wago svorka 2x2,5mm (316055)</v>
      </c>
      <c r="E210" s="29"/>
    </row>
    <row r="211" spans="1:5" x14ac:dyDescent="0.25">
      <c r="A211" s="119" t="s">
        <v>5276</v>
      </c>
      <c r="B211" s="118" t="s">
        <v>6046</v>
      </c>
      <c r="C211" s="119" t="s">
        <v>6047</v>
      </c>
      <c r="D211" s="118" t="e">
        <f>VLOOKUP(C211,'1066'!$C$2:$D$1500,2,0)</f>
        <v>#N/A</v>
      </c>
      <c r="E211" s="29"/>
    </row>
    <row r="212" spans="1:5" x14ac:dyDescent="0.25">
      <c r="A212" s="119" t="s">
        <v>4940</v>
      </c>
      <c r="B212" s="118" t="s">
        <v>6048</v>
      </c>
      <c r="C212" s="119" t="s">
        <v>5560</v>
      </c>
      <c r="D212" s="118" t="str">
        <f>VLOOKUP(C212,'1066'!$C$2:$D$1500,2,0)</f>
        <v>V-StrongLumio koncovky k liště Slim bílá (pár) (285032)</v>
      </c>
      <c r="E212" s="29"/>
    </row>
    <row r="213" spans="1:5" x14ac:dyDescent="0.25">
      <c r="A213" s="119" t="s">
        <v>5682</v>
      </c>
      <c r="B213" s="118" t="s">
        <v>6049</v>
      </c>
      <c r="C213" s="119" t="s">
        <v>5185</v>
      </c>
      <c r="D213" s="118" t="str">
        <f>VLOOKUP(C213,'1066'!$C$2:$D$1500,2,0)</f>
        <v>StrongLumio pohybový vypínač PIR, 12-24V 4A Mini</v>
      </c>
      <c r="E213" s="29"/>
    </row>
    <row r="214" spans="1:5" x14ac:dyDescent="0.25">
      <c r="A214" s="119" t="s">
        <v>6051</v>
      </c>
      <c r="B214" s="118" t="s">
        <v>6052</v>
      </c>
      <c r="C214" s="119" t="s">
        <v>5194</v>
      </c>
      <c r="D214" s="118" t="str">
        <f>VLOOKUP(C214,'1066'!$C$2:$D$1500,2,0)</f>
        <v>StrongLumio profil Arc 12, 2000mm stříbrná surová</v>
      </c>
    </row>
    <row r="215" spans="1:5" x14ac:dyDescent="0.25">
      <c r="A215" s="119" t="s">
        <v>4890</v>
      </c>
      <c r="B215" s="118" t="s">
        <v>6053</v>
      </c>
      <c r="C215" s="119" t="s">
        <v>5537</v>
      </c>
      <c r="D215" s="118" t="str">
        <f>VLOOKUP(C215,'1066'!$C$2:$D$1500,2,0)</f>
        <v>V-StrongLumio Dvojlinka 2x0,5mm2 20AWG červeno-černá (347904)</v>
      </c>
      <c r="E215" s="29"/>
    </row>
    <row r="216" spans="1:5" x14ac:dyDescent="0.25">
      <c r="A216" s="119" t="s">
        <v>4886</v>
      </c>
      <c r="B216" s="118" t="s">
        <v>6054</v>
      </c>
      <c r="C216" s="119" t="s">
        <v>5534</v>
      </c>
      <c r="D216" s="118" t="str">
        <f>VLOOKUP(C216,'1066'!$C$2:$D$1500,2,0)</f>
        <v>V-StrongLumio dveřní senzor alu 12/24V 48/96W 4A konektory Mini (342514)</v>
      </c>
      <c r="E216" s="29"/>
    </row>
    <row r="217" spans="1:5" x14ac:dyDescent="0.25">
      <c r="A217" s="119" t="s">
        <v>6325</v>
      </c>
      <c r="B217" s="118" t="s">
        <v>6055</v>
      </c>
      <c r="C217" s="119" t="s">
        <v>5614</v>
      </c>
      <c r="D217" s="118" t="str">
        <f>VLOOKUP(C217,'1066'!$C$2:$D$1500,2,0)</f>
        <v>V-StrongLumio LED pásek 21,6W/m 24V bílá neutrální 210 LED/m (342534)</v>
      </c>
      <c r="E217" s="29"/>
    </row>
    <row r="218" spans="1:5" x14ac:dyDescent="0.25">
      <c r="A218" s="119" t="s">
        <v>4880</v>
      </c>
      <c r="B218" s="118" t="s">
        <v>6056</v>
      </c>
      <c r="C218" s="119" t="s">
        <v>5531</v>
      </c>
      <c r="D218" s="118" t="str">
        <f>VLOOKUP(C218,'1066'!$C$2:$D$1500,2,0)</f>
        <v>V-StrongLumio dotykový senzor s pružinou do profilu 12-24V 8A (342513)</v>
      </c>
      <c r="E218" s="29"/>
    </row>
    <row r="219" spans="1:5" x14ac:dyDescent="0.25">
      <c r="A219" s="119" t="s">
        <v>5444</v>
      </c>
      <c r="B219" s="118" t="s">
        <v>6057</v>
      </c>
      <c r="C219" s="119" t="s">
        <v>5768</v>
      </c>
      <c r="D219" s="118" t="str">
        <f>VLOOKUP(C219,'1066'!$C$2:$D$1500,2,0)</f>
        <v>V-StrongLumio vypínač/stmívač 12-24V 4A bílý konektory Mini (342517)</v>
      </c>
      <c r="E219" s="29"/>
    </row>
    <row r="220" spans="1:5" x14ac:dyDescent="0.25">
      <c r="A220" s="119" t="s">
        <v>5124</v>
      </c>
      <c r="B220" s="118" t="s">
        <v>6058</v>
      </c>
      <c r="C220" s="119" t="s">
        <v>5652</v>
      </c>
      <c r="D220" s="118" t="str">
        <f>VLOOKUP(C220,'1066'!$C$2:$D$1500,2,0)</f>
        <v>V-StrongLumio LED rohový spoj pájecí 8mm (342529)</v>
      </c>
      <c r="E220" s="29"/>
    </row>
    <row r="221" spans="1:5" x14ac:dyDescent="0.25">
      <c r="A221" s="119" t="s">
        <v>5122</v>
      </c>
      <c r="B221" s="118" t="s">
        <v>6059</v>
      </c>
      <c r="C221" s="119" t="s">
        <v>5651</v>
      </c>
      <c r="D221" s="118" t="str">
        <f>VLOOKUP(C221,'1066'!$C$2:$D$1500,2,0)</f>
        <v>V-StrongLumio LED rohový spoj pájecí 10mm (342538)</v>
      </c>
      <c r="E221" s="29"/>
    </row>
    <row r="222" spans="1:5" x14ac:dyDescent="0.25">
      <c r="A222" s="119" t="s">
        <v>5321</v>
      </c>
      <c r="B222" s="118" t="s">
        <v>6060</v>
      </c>
      <c r="C222" s="119" t="s">
        <v>5748</v>
      </c>
      <c r="D222" s="118" t="str">
        <f>VLOOKUP(C222,'1066'!$C$2:$D$1500,2,0)</f>
        <v>V-StrongLumio propojovací kabel kulatý konektor (Jack) Mini (fem) (342541)</v>
      </c>
      <c r="E222" s="29"/>
    </row>
    <row r="223" spans="1:5" x14ac:dyDescent="0.25">
      <c r="A223" s="119" t="s">
        <v>5445</v>
      </c>
      <c r="B223" s="118" t="s">
        <v>6061</v>
      </c>
      <c r="C223" s="119" t="s">
        <v>5769</v>
      </c>
      <c r="D223" s="118" t="str">
        <f>VLOOKUP(C223,'1066'!$C$2:$D$1500,2,0)</f>
        <v>V-StrongLumio vypínač/stmívač 12-24V 4A černý konektory Mini (342516)</v>
      </c>
      <c r="E223" s="29"/>
    </row>
    <row r="224" spans="1:5" x14ac:dyDescent="0.25">
      <c r="A224" s="119" t="s">
        <v>5340</v>
      </c>
      <c r="B224" s="118" t="s">
        <v>6062</v>
      </c>
      <c r="C224" s="119" t="s">
        <v>5514</v>
      </c>
      <c r="D224" s="118" t="str">
        <f>VLOOKUP(C224,'1066'!$C$2:$D$1500,2,0)</f>
        <v>V-SAL-rozvaděč LED 6x MINI - konektor MINI 0,25m (356328)</v>
      </c>
      <c r="E224" s="29"/>
    </row>
    <row r="225" spans="1:5" x14ac:dyDescent="0.25">
      <c r="A225" s="126" t="s">
        <v>5202</v>
      </c>
      <c r="B225" s="127" t="s">
        <v>6063</v>
      </c>
      <c r="C225" s="119" t="s">
        <v>5650</v>
      </c>
      <c r="D225" s="118" t="str">
        <f>VLOOKUP(C225,'1066'!$C$2:$D$1500,2,0)</f>
        <v>V-StrongLumio LED profil Belcore 2m stříbrný elox (342524)</v>
      </c>
      <c r="E225" s="29"/>
    </row>
    <row r="226" spans="1:5" x14ac:dyDescent="0.25">
      <c r="A226" s="126" t="s">
        <v>5023</v>
      </c>
      <c r="B226" s="127" t="s">
        <v>6064</v>
      </c>
      <c r="C226" s="119" t="s">
        <v>6065</v>
      </c>
      <c r="D226" s="118" t="e">
        <f>VLOOKUP(C226,'1066'!$C$2:$D$1500,2,0)</f>
        <v>#N/A</v>
      </c>
      <c r="E226" s="29"/>
    </row>
    <row r="227" spans="1:5" x14ac:dyDescent="0.25">
      <c r="A227" s="126" t="s">
        <v>4907</v>
      </c>
      <c r="B227" s="127" t="s">
        <v>6066</v>
      </c>
      <c r="C227" s="119" t="s">
        <v>6067</v>
      </c>
      <c r="D227" s="118" t="e">
        <f>VLOOKUP(C227,'1066'!$C$2:$D$1500,2,0)</f>
        <v>#N/A</v>
      </c>
      <c r="E227" s="29"/>
    </row>
    <row r="228" spans="1:5" x14ac:dyDescent="0.25">
      <c r="A228" s="126" t="s">
        <v>5426</v>
      </c>
      <c r="B228" s="127" t="s">
        <v>6068</v>
      </c>
      <c r="C228" s="119" t="s">
        <v>6069</v>
      </c>
      <c r="D228" s="118" t="e">
        <f>VLOOKUP(C228,'1066'!$C$2:$D$1500,2,0)</f>
        <v>#N/A</v>
      </c>
      <c r="E228" s="29"/>
    </row>
    <row r="229" spans="1:5" x14ac:dyDescent="0.25">
      <c r="A229" s="119" t="s">
        <v>5310</v>
      </c>
      <c r="B229" s="118" t="s">
        <v>6070</v>
      </c>
      <c r="C229" s="119" t="s">
        <v>6071</v>
      </c>
      <c r="D229" s="118" t="e">
        <f>VLOOKUP(C229,'1066'!$C$2:$D$1500,2,0)</f>
        <v>#N/A</v>
      </c>
      <c r="E229" s="29"/>
    </row>
    <row r="230" spans="1:5" x14ac:dyDescent="0.25">
      <c r="A230" s="119" t="s">
        <v>5263</v>
      </c>
      <c r="B230" s="118" t="s">
        <v>6072</v>
      </c>
      <c r="C230" s="119" t="s">
        <v>6073</v>
      </c>
      <c r="D230" s="118" t="e">
        <f>VLOOKUP(C230,'1066'!$C$2:$D$1500,2,0)</f>
        <v>#N/A</v>
      </c>
      <c r="E230" s="29"/>
    </row>
    <row r="231" spans="1:5" x14ac:dyDescent="0.25">
      <c r="A231" s="119" t="s">
        <v>5029</v>
      </c>
      <c r="B231" s="118" t="s">
        <v>6074</v>
      </c>
      <c r="C231" s="119" t="s">
        <v>6075</v>
      </c>
      <c r="D231" s="118" t="e">
        <f>VLOOKUP(C231,'1066'!$C$2:$D$1500,2,0)</f>
        <v>#N/A</v>
      </c>
      <c r="E231" s="29"/>
    </row>
    <row r="232" spans="1:5" x14ac:dyDescent="0.25">
      <c r="A232" s="119" t="s">
        <v>4906</v>
      </c>
      <c r="B232" s="118" t="s">
        <v>6076</v>
      </c>
      <c r="C232" s="119" t="s">
        <v>5542</v>
      </c>
      <c r="D232" s="118" t="str">
        <f>VLOOKUP(C232,'1066'!$C$2:$D$1500,2,0)</f>
        <v>V-StrongLumio koncovka pro LED profil Ormio (342523)</v>
      </c>
      <c r="E232" s="29"/>
    </row>
    <row r="233" spans="1:5" x14ac:dyDescent="0.25">
      <c r="A233" s="119" t="s">
        <v>5006</v>
      </c>
      <c r="B233" s="118" t="s">
        <v>6077</v>
      </c>
      <c r="C233" s="119" t="s">
        <v>6078</v>
      </c>
      <c r="D233" s="118" t="e">
        <f>VLOOKUP(C233,'1066'!$C$2:$D$1500,2,0)</f>
        <v>#N/A</v>
      </c>
      <c r="E233" s="29"/>
    </row>
    <row r="234" spans="1:5" x14ac:dyDescent="0.25">
      <c r="A234" s="119" t="s">
        <v>4902</v>
      </c>
      <c r="B234" s="118" t="s">
        <v>6079</v>
      </c>
      <c r="C234" s="119" t="s">
        <v>6080</v>
      </c>
      <c r="D234" s="118" t="e">
        <f>VLOOKUP(C234,'1066'!$C$2:$D$1500,2,0)</f>
        <v>#N/A</v>
      </c>
      <c r="E234" s="29"/>
    </row>
    <row r="235" spans="1:5" x14ac:dyDescent="0.25">
      <c r="A235" s="119" t="s">
        <v>5234</v>
      </c>
      <c r="B235" s="118" t="s">
        <v>6081</v>
      </c>
      <c r="C235" s="119" t="s">
        <v>6082</v>
      </c>
      <c r="D235" s="118" t="e">
        <f>VLOOKUP(C235,'1066'!$C$2:$D$1500,2,0)</f>
        <v>#N/A</v>
      </c>
      <c r="E235" s="29"/>
    </row>
    <row r="236" spans="1:5" x14ac:dyDescent="0.25">
      <c r="A236" s="119" t="s">
        <v>5027</v>
      </c>
      <c r="B236" s="118" t="s">
        <v>6083</v>
      </c>
      <c r="C236" s="119" t="s">
        <v>6084</v>
      </c>
      <c r="D236" s="118" t="e">
        <f>VLOOKUP(C236,'1066'!$C$2:$D$1500,2,0)</f>
        <v>#N/A</v>
      </c>
      <c r="E236" s="29"/>
    </row>
    <row r="237" spans="1:5" x14ac:dyDescent="0.25">
      <c r="A237" s="119" t="s">
        <v>4904</v>
      </c>
      <c r="B237" s="118" t="s">
        <v>6085</v>
      </c>
      <c r="C237" s="119" t="s">
        <v>6086</v>
      </c>
      <c r="D237" s="118" t="e">
        <f>VLOOKUP(C237,'1066'!$C$2:$D$1500,2,0)</f>
        <v>#N/A</v>
      </c>
      <c r="E237" s="29"/>
    </row>
    <row r="238" spans="1:5" x14ac:dyDescent="0.25">
      <c r="A238" s="119" t="s">
        <v>5427</v>
      </c>
      <c r="B238" s="118" t="s">
        <v>6087</v>
      </c>
      <c r="C238" s="119" t="s">
        <v>6088</v>
      </c>
      <c r="D238" s="118" t="e">
        <f>VLOOKUP(C238,'1066'!$C$2:$D$1500,2,0)</f>
        <v>#N/A</v>
      </c>
      <c r="E238" s="29"/>
    </row>
    <row r="239" spans="1:5" x14ac:dyDescent="0.25">
      <c r="A239" s="119" t="s">
        <v>5185</v>
      </c>
      <c r="B239" s="118" t="s">
        <v>6050</v>
      </c>
      <c r="C239" s="119" t="s">
        <v>5682</v>
      </c>
      <c r="D239" s="118" t="str">
        <f>VLOOKUP(C239,'1066'!$C$2:$D$1500,2,0)</f>
        <v>V-StrongLumio pohybový vypínač PIR 12-24V 4A MINI (343040)</v>
      </c>
      <c r="E239" s="29"/>
    </row>
    <row r="240" spans="1:5" x14ac:dyDescent="0.25">
      <c r="A240" s="119" t="s">
        <v>6326</v>
      </c>
      <c r="B240" s="118" t="s">
        <v>6089</v>
      </c>
      <c r="C240" s="119" t="s">
        <v>6090</v>
      </c>
      <c r="D240" s="118" t="e">
        <f>VLOOKUP(C240,'1066'!$C$2:$D$1500,2,0)</f>
        <v>#N/A</v>
      </c>
      <c r="E240" s="29"/>
    </row>
    <row r="241" spans="1:5" x14ac:dyDescent="0.25">
      <c r="A241" s="119" t="s">
        <v>5439</v>
      </c>
      <c r="B241" s="118" t="s">
        <v>6091</v>
      </c>
      <c r="C241" s="119" t="s">
        <v>5767</v>
      </c>
      <c r="D241" s="118" t="str">
        <f>VLOOKUP(C241,'1066'!$C$2:$D$1500,2,0)</f>
        <v>V-StrongLumio vypínač/dveřní senzor pro max. 3 čidla 12-24V 8A (342518)</v>
      </c>
      <c r="E241" s="29"/>
    </row>
    <row r="242" spans="1:5" x14ac:dyDescent="0.25">
      <c r="A242" s="119" t="s">
        <v>4875</v>
      </c>
      <c r="B242" s="118" t="s">
        <v>6092</v>
      </c>
      <c r="C242" s="119" t="s">
        <v>5527</v>
      </c>
      <c r="D242" s="118" t="str">
        <f>VLOOKUP(C242,'1066'!$C$2:$D$1500,2,0)</f>
        <v>V-StrongLumio čidlo pro vypínač/dveřní senzor černý (342519)</v>
      </c>
      <c r="E242" s="29"/>
    </row>
    <row r="243" spans="1:5" x14ac:dyDescent="0.25">
      <c r="A243" s="119" t="s">
        <v>4874</v>
      </c>
      <c r="B243" s="118" t="s">
        <v>6093</v>
      </c>
      <c r="C243" s="119" t="s">
        <v>5526</v>
      </c>
      <c r="D243" s="118" t="str">
        <f>VLOOKUP(C243,'1066'!$C$2:$D$1500,2,0)</f>
        <v>V-StrongLumio čidlo pro vypínač/dveřní senzor bílý (342520)</v>
      </c>
      <c r="E243" s="29"/>
    </row>
    <row r="244" spans="1:5" x14ac:dyDescent="0.25">
      <c r="A244" s="119" t="s">
        <v>5159</v>
      </c>
      <c r="B244" s="118" t="s">
        <v>6094</v>
      </c>
      <c r="C244" s="119" t="s">
        <v>5671</v>
      </c>
      <c r="D244" s="118" t="str">
        <f>VLOOKUP(C244,'1066'!$C$2:$D$1500,2,0)</f>
        <v>V-StrongLumio napájecí zdroj pro LED 12V 120W (353250)</v>
      </c>
      <c r="E244" s="29"/>
    </row>
    <row r="245" spans="1:5" x14ac:dyDescent="0.25">
      <c r="A245" s="119" t="s">
        <v>4900</v>
      </c>
      <c r="B245" s="118" t="s">
        <v>6095</v>
      </c>
      <c r="C245" s="119" t="s">
        <v>6096</v>
      </c>
      <c r="D245" s="118" t="e">
        <f>VLOOKUP(C245,'1066'!$C$2:$D$1500,2,0)</f>
        <v>#N/A</v>
      </c>
      <c r="E245" s="29"/>
    </row>
    <row r="246" spans="1:5" x14ac:dyDescent="0.25">
      <c r="A246" s="119" t="s">
        <v>6327</v>
      </c>
      <c r="B246" s="118" t="s">
        <v>6097</v>
      </c>
      <c r="C246" s="119" t="s">
        <v>6098</v>
      </c>
      <c r="D246" s="118" t="e">
        <f>VLOOKUP(C246,'1066'!$C$2:$D$1500,2,0)</f>
        <v>#N/A</v>
      </c>
      <c r="E246" s="29"/>
    </row>
    <row r="247" spans="1:5" x14ac:dyDescent="0.25">
      <c r="A247" s="119" t="s">
        <v>6328</v>
      </c>
      <c r="B247" s="118" t="s">
        <v>6099</v>
      </c>
      <c r="C247" s="119" t="s">
        <v>6100</v>
      </c>
      <c r="D247" s="118" t="e">
        <f>VLOOKUP(C247,'1066'!$C$2:$D$1500,2,0)</f>
        <v>#N/A</v>
      </c>
      <c r="E247" s="29"/>
    </row>
    <row r="248" spans="1:5" x14ac:dyDescent="0.25">
      <c r="A248" s="119" t="s">
        <v>6329</v>
      </c>
      <c r="B248" s="118" t="s">
        <v>6101</v>
      </c>
      <c r="C248" s="119" t="s">
        <v>6102</v>
      </c>
      <c r="D248" s="118" t="e">
        <f>VLOOKUP(C248,'1066'!$C$2:$D$1500,2,0)</f>
        <v>#N/A</v>
      </c>
      <c r="E248" s="29"/>
    </row>
    <row r="249" spans="1:5" x14ac:dyDescent="0.25">
      <c r="A249" s="119" t="s">
        <v>6330</v>
      </c>
      <c r="B249" s="118" t="s">
        <v>6103</v>
      </c>
      <c r="C249" s="119" t="s">
        <v>6104</v>
      </c>
      <c r="D249" s="118" t="e">
        <f>VLOOKUP(C249,'1066'!$C$2:$D$1500,2,0)</f>
        <v>#N/A</v>
      </c>
      <c r="E249" s="29"/>
    </row>
    <row r="250" spans="1:5" x14ac:dyDescent="0.25">
      <c r="A250" s="119" t="s">
        <v>5190</v>
      </c>
      <c r="B250" s="118" t="s">
        <v>6105</v>
      </c>
      <c r="C250" s="119" t="s">
        <v>5686</v>
      </c>
      <c r="D250" s="118" t="str">
        <f>VLOOKUP(C250,'1066'!$C$2:$D$1500,2,0)</f>
        <v>V-StrongLumio prodlužovací kabel 2m pro dveřní senzor 342519 a 342520 (362939)</v>
      </c>
      <c r="E250" s="29"/>
    </row>
    <row r="251" spans="1:5" x14ac:dyDescent="0.25">
      <c r="A251" s="119" t="s">
        <v>4887</v>
      </c>
      <c r="B251" s="118" t="s">
        <v>6106</v>
      </c>
      <c r="C251" s="119" t="s">
        <v>5535</v>
      </c>
      <c r="D251" s="118" t="str">
        <f>VLOOKUP(C251,'1066'!$C$2:$D$1500,2,0)</f>
        <v>V-StrongLumio dveřní senzor plast,12-24V,4A,konektory Mini, bílá (374369)</v>
      </c>
      <c r="E251" s="29"/>
    </row>
    <row r="252" spans="1:5" x14ac:dyDescent="0.25">
      <c r="A252" s="119" t="s">
        <v>4851</v>
      </c>
      <c r="B252" s="118" t="s">
        <v>6107</v>
      </c>
      <c r="C252" s="119" t="s">
        <v>5519</v>
      </c>
      <c r="D252" s="118" t="str">
        <f>VLOOKUP(C252,'1066'!$C$2:$D$1500,2,0)</f>
        <v>V-StrongLumio bezdotykový vypínač plast 12-24V 4A konektory Mini (374370)</v>
      </c>
      <c r="E252" s="29"/>
    </row>
    <row r="253" spans="1:5" x14ac:dyDescent="0.25">
      <c r="A253" s="119" t="s">
        <v>5468</v>
      </c>
      <c r="B253" s="118" t="s">
        <v>6108</v>
      </c>
      <c r="C253" s="119" t="s">
        <v>6109</v>
      </c>
      <c r="D253" s="118" t="e">
        <f>VLOOKUP(C253,'1066'!$C$2:$D$1500,2,0)</f>
        <v>#N/A</v>
      </c>
      <c r="E253" s="29"/>
    </row>
    <row r="254" spans="1:5" x14ac:dyDescent="0.25">
      <c r="A254" s="119" t="s">
        <v>5177</v>
      </c>
      <c r="B254" s="118" t="s">
        <v>6110</v>
      </c>
      <c r="C254" s="119" t="s">
        <v>5760</v>
      </c>
      <c r="D254" s="118" t="str">
        <f>VLOOKUP(C254,'1066'!$C$2:$D$1500,2,0)</f>
        <v>V-StrongLumio trojlinka kabel CCT plochý 3x0,35 (367822)</v>
      </c>
      <c r="E254" s="29"/>
    </row>
    <row r="255" spans="1:5" x14ac:dyDescent="0.25">
      <c r="A255" s="119" t="s">
        <v>5296</v>
      </c>
      <c r="B255" s="118" t="s">
        <v>2919</v>
      </c>
      <c r="C255" s="119" t="s">
        <v>5739</v>
      </c>
      <c r="D255" s="118" t="str">
        <f>VLOOKUP(C255,'1066'!$C$2:$D$1500,2,0)</f>
        <v>V-StrongLumio profil LED Surface 10 alu černý 1000mm (231266)</v>
      </c>
      <c r="E255" s="29"/>
    </row>
    <row r="256" spans="1:5" x14ac:dyDescent="0.25">
      <c r="A256" s="119" t="s">
        <v>255</v>
      </c>
      <c r="B256" s="118" t="s">
        <v>6111</v>
      </c>
      <c r="C256" s="119" t="s">
        <v>5742</v>
      </c>
      <c r="D256" s="118" t="str">
        <f>VLOOKUP(C256,'1066'!$C$2:$D$1500,2,0)</f>
        <v>V-StrongLumio profil LED Surface 10 alu černý 4050mm (353541)</v>
      </c>
      <c r="E256" s="29"/>
    </row>
    <row r="257" spans="1:5" x14ac:dyDescent="0.25">
      <c r="A257" s="119" t="s">
        <v>5295</v>
      </c>
      <c r="B257" s="118" t="s">
        <v>2915</v>
      </c>
      <c r="C257" s="119" t="s">
        <v>5734</v>
      </c>
      <c r="D257" s="118" t="str">
        <f>VLOOKUP(C257,'1066'!$C$2:$D$1500,2,0)</f>
        <v>V-StrongLumio profil LED Surface 10 alu bílý 1000mm (231267)</v>
      </c>
      <c r="E257" s="29"/>
    </row>
    <row r="258" spans="1:5" x14ac:dyDescent="0.25">
      <c r="A258" s="119" t="s">
        <v>5297</v>
      </c>
      <c r="B258" s="118" t="s">
        <v>2951</v>
      </c>
      <c r="C258" s="119" t="s">
        <v>5737</v>
      </c>
      <c r="D258" s="118" t="str">
        <f>VLOOKUP(C258,'1066'!$C$2:$D$1500,2,0)</f>
        <v>V-StrongLumio profil LED Surface 10 alu bílý 4050mm (353540)</v>
      </c>
      <c r="E258" s="29"/>
    </row>
    <row r="259" spans="1:5" x14ac:dyDescent="0.25">
      <c r="A259" s="119" t="s">
        <v>5245</v>
      </c>
      <c r="B259" s="118" t="s">
        <v>2691</v>
      </c>
      <c r="C259" s="119" t="s">
        <v>5721</v>
      </c>
      <c r="D259" s="118" t="str">
        <f>VLOOKUP(C259,'1066'!$C$2:$D$1500,2,0)</f>
        <v>V-StrongLumio profil LED Groove 10 alu černý 1000mm (231268)</v>
      </c>
      <c r="E259" s="29"/>
    </row>
    <row r="260" spans="1:5" x14ac:dyDescent="0.25">
      <c r="A260" s="119" t="s">
        <v>316</v>
      </c>
      <c r="B260" s="118" t="s">
        <v>6112</v>
      </c>
      <c r="C260" s="119" t="s">
        <v>5724</v>
      </c>
      <c r="D260" s="118" t="str">
        <f>VLOOKUP(C260,'1066'!$C$2:$D$1500,2,0)</f>
        <v>V-StrongLumio profil LED Groove 10 alu černý 4050mm (353543)</v>
      </c>
      <c r="E260" s="29"/>
    </row>
    <row r="261" spans="1:5" x14ac:dyDescent="0.25">
      <c r="A261" s="119" t="s">
        <v>5244</v>
      </c>
      <c r="B261" s="118" t="s">
        <v>2687</v>
      </c>
      <c r="C261" s="119" t="s">
        <v>5717</v>
      </c>
      <c r="D261" s="118" t="str">
        <f>VLOOKUP(C261,'1066'!$C$2:$D$1500,2,0)</f>
        <v>V-StrongLumio profil LED Groove 10 alu bílý 1000mm (231269)</v>
      </c>
      <c r="E261" s="29"/>
    </row>
    <row r="262" spans="1:5" x14ac:dyDescent="0.25">
      <c r="A262" s="119" t="s">
        <v>5213</v>
      </c>
      <c r="B262" s="118" t="s">
        <v>2534</v>
      </c>
      <c r="C262" s="119" t="s">
        <v>5707</v>
      </c>
      <c r="D262" s="118" t="str">
        <f>VLOOKUP(C262,'1066'!$C$2:$D$1500,2,0)</f>
        <v>V-StrongLumio profil LED Corner 10 alu černý 1000mm (231270)</v>
      </c>
      <c r="E262" s="29"/>
    </row>
    <row r="263" spans="1:5" x14ac:dyDescent="0.25">
      <c r="A263" s="119" t="s">
        <v>5212</v>
      </c>
      <c r="B263" s="118" t="s">
        <v>2530</v>
      </c>
      <c r="C263" s="119" t="s">
        <v>5703</v>
      </c>
      <c r="D263" s="118" t="str">
        <f>VLOOKUP(C263,'1066'!$C$2:$D$1500,2,0)</f>
        <v>V-StrongLumio profil LED Corner 10 alu bílý 1000mm (231271)</v>
      </c>
      <c r="E263" s="29"/>
    </row>
    <row r="264" spans="1:5" x14ac:dyDescent="0.25">
      <c r="A264" s="119" t="s">
        <v>357</v>
      </c>
      <c r="B264" s="118" t="s">
        <v>2570</v>
      </c>
      <c r="C264" s="119" t="s">
        <v>5710</v>
      </c>
      <c r="D264" s="118" t="str">
        <f>VLOOKUP(C264,'1066'!$C$2:$D$1500,2,0)</f>
        <v>V-StrongLumio profil LED Corner 10 alu černý 4050mm (353539)</v>
      </c>
      <c r="E264" s="29"/>
    </row>
    <row r="265" spans="1:5" x14ac:dyDescent="0.25">
      <c r="A265" s="119" t="s">
        <v>296</v>
      </c>
      <c r="B265" s="118" t="s">
        <v>6113</v>
      </c>
      <c r="C265" s="119" t="s">
        <v>5720</v>
      </c>
      <c r="D265" s="118" t="str">
        <f>VLOOKUP(C265,'1066'!$C$2:$D$1500,2,0)</f>
        <v>V-StrongLumio profil LED Groove 10 alu bílý 4050mm (353542)</v>
      </c>
      <c r="E265" s="29"/>
    </row>
    <row r="266" spans="1:5" x14ac:dyDescent="0.25">
      <c r="A266" s="119" t="s">
        <v>346</v>
      </c>
      <c r="B266" s="118" t="s">
        <v>6114</v>
      </c>
      <c r="C266" s="119" t="s">
        <v>5706</v>
      </c>
      <c r="D266" s="118" t="str">
        <f>VLOOKUP(C266,'1066'!$C$2:$D$1500,2,0)</f>
        <v>V-StrongLumio profil LED Corner 10 alu bílý 4050mm (353538)</v>
      </c>
      <c r="E266" s="29"/>
    </row>
    <row r="267" spans="1:5" x14ac:dyDescent="0.25">
      <c r="A267" s="119" t="s">
        <v>5127</v>
      </c>
      <c r="B267" s="118" t="s">
        <v>6115</v>
      </c>
      <c r="C267" s="119" t="s">
        <v>5654</v>
      </c>
      <c r="D267" s="118" t="str">
        <f>VLOOKUP(C267,'1066'!$C$2:$D$1500,2,0)</f>
        <v>V-StrongLumio LED vypínač/stmívač do profilu 12/24V bez kontrolky (392223)</v>
      </c>
      <c r="E267" s="29"/>
    </row>
    <row r="268" spans="1:5" x14ac:dyDescent="0.25">
      <c r="A268" s="119" t="s">
        <v>5068</v>
      </c>
      <c r="B268" s="118" t="s">
        <v>6116</v>
      </c>
      <c r="C268" s="119" t="s">
        <v>5606</v>
      </c>
      <c r="D268" s="118" t="str">
        <f>VLOOKUP(C268,'1066'!$C$2:$D$1500,2,0)</f>
        <v>V-StrongLumio LED pásek 14,4W/m 24V (60 LED/m) RGBW teplá bílá (393024)</v>
      </c>
      <c r="E268" s="29"/>
    </row>
    <row r="269" spans="1:5" x14ac:dyDescent="0.25">
      <c r="A269" s="119" t="s">
        <v>5180</v>
      </c>
      <c r="B269" s="118" t="s">
        <v>6117</v>
      </c>
      <c r="C269" s="119" t="s">
        <v>5679</v>
      </c>
      <c r="D269" s="118" t="str">
        <f>VLOOKUP(C269,'1066'!$C$2:$D$1500,2,0)</f>
        <v>V-StrongLumio plochý RGBW kabel (pětilinka) (399079)</v>
      </c>
      <c r="E269" s="29"/>
    </row>
    <row r="270" spans="1:5" x14ac:dyDescent="0.25">
      <c r="A270" s="119" t="s">
        <v>5028</v>
      </c>
      <c r="B270" s="118" t="s">
        <v>6118</v>
      </c>
      <c r="C270" s="119" t="s">
        <v>6119</v>
      </c>
      <c r="D270" s="118" t="e">
        <f>VLOOKUP(C270,'1066'!$C$2:$D$1500,2,0)</f>
        <v>#N/A</v>
      </c>
      <c r="E270" s="29"/>
    </row>
    <row r="271" spans="1:5" x14ac:dyDescent="0.25">
      <c r="A271" s="119" t="s">
        <v>4879</v>
      </c>
      <c r="B271" s="118" t="s">
        <v>6120</v>
      </c>
      <c r="C271" s="119" t="s">
        <v>5530</v>
      </c>
      <c r="D271" s="118" t="str">
        <f>VLOOKUP(C271,'1066'!$C$2:$D$1500,2,0)</f>
        <v>V-StrongLumio dálkový ovladač RF univerzální 5 v 1 (405206)</v>
      </c>
      <c r="E271" s="29"/>
    </row>
    <row r="272" spans="1:5" x14ac:dyDescent="0.25">
      <c r="A272" s="119" t="s">
        <v>5346</v>
      </c>
      <c r="B272" s="118" t="s">
        <v>6121</v>
      </c>
      <c r="C272" s="119" t="s">
        <v>5756</v>
      </c>
      <c r="D272" s="118" t="str">
        <f>VLOOKUP(C272,'1066'!$C$2:$D$1500,2,0)</f>
        <v>V-StrongLumio řídící jednotka RF univerzální 4 v 1 (405357)</v>
      </c>
      <c r="E272" s="29"/>
    </row>
    <row r="273" spans="1:5" x14ac:dyDescent="0.25">
      <c r="A273" s="119" t="s">
        <v>5073</v>
      </c>
      <c r="B273" s="118" t="s">
        <v>6122</v>
      </c>
      <c r="C273" s="119" t="s">
        <v>5631</v>
      </c>
      <c r="D273" s="118" t="str">
        <f>VLOOKUP(C273,'1066'!$C$2:$D$1500,2,0)</f>
        <v>V-StrongLumio LED pásek 26W/m 24V bílá studená 304 LED/m (405361)</v>
      </c>
      <c r="E273" s="29"/>
    </row>
    <row r="274" spans="1:5" x14ac:dyDescent="0.25">
      <c r="A274" s="119" t="s">
        <v>5146</v>
      </c>
      <c r="B274" s="118" t="s">
        <v>6123</v>
      </c>
      <c r="C274" s="119" t="s">
        <v>5663</v>
      </c>
      <c r="D274" s="118" t="str">
        <f>VLOOKUP(C274,'1066'!$C$2:$D$1500,2,0)</f>
        <v>V-StrongLumio napájecí zdroj plochý pro LED 12V 15W (405183)</v>
      </c>
      <c r="E274" s="29"/>
    </row>
    <row r="275" spans="1:5" x14ac:dyDescent="0.25">
      <c r="A275" s="119" t="s">
        <v>5147</v>
      </c>
      <c r="B275" s="118" t="s">
        <v>6124</v>
      </c>
      <c r="C275" s="119" t="s">
        <v>5664</v>
      </c>
      <c r="D275" s="118" t="str">
        <f>VLOOKUP(C275,'1066'!$C$2:$D$1500,2,0)</f>
        <v>V-StrongLumio napájecí zdroj plochý pro LED 12V 30W (405184)</v>
      </c>
      <c r="E275" s="29"/>
    </row>
    <row r="276" spans="1:5" x14ac:dyDescent="0.25">
      <c r="A276" s="119" t="s">
        <v>5148</v>
      </c>
      <c r="B276" s="118" t="s">
        <v>6125</v>
      </c>
      <c r="C276" s="119" t="s">
        <v>5665</v>
      </c>
      <c r="D276" s="118" t="str">
        <f>VLOOKUP(C276,'1066'!$C$2:$D$1500,2,0)</f>
        <v>V-StrongLumio napájecí zdroj plochý pro LED 12V 60W (405185)</v>
      </c>
      <c r="E276" s="29"/>
    </row>
    <row r="277" spans="1:5" x14ac:dyDescent="0.25">
      <c r="A277" s="119" t="s">
        <v>5149</v>
      </c>
      <c r="B277" s="118" t="s">
        <v>6126</v>
      </c>
      <c r="C277" s="119" t="s">
        <v>5666</v>
      </c>
      <c r="D277" s="118" t="str">
        <f>VLOOKUP(C277,'1066'!$C$2:$D$1500,2,0)</f>
        <v>V-StrongLumio napájecí zdroj plochý pro LED 12V 75W (405186)</v>
      </c>
      <c r="E277" s="29"/>
    </row>
    <row r="278" spans="1:5" x14ac:dyDescent="0.25">
      <c r="A278" s="119" t="s">
        <v>5145</v>
      </c>
      <c r="B278" s="118" t="s">
        <v>6127</v>
      </c>
      <c r="C278" s="119" t="s">
        <v>5662</v>
      </c>
      <c r="D278" s="118" t="str">
        <f>VLOOKUP(C278,'1066'!$C$2:$D$1500,2,0)</f>
        <v>V-StrongLumio napájecí zdroj plochý pro LED 12V 100W (405187)</v>
      </c>
      <c r="E278" s="29"/>
    </row>
    <row r="279" spans="1:5" x14ac:dyDescent="0.25">
      <c r="A279" s="119" t="s">
        <v>5155</v>
      </c>
      <c r="B279" s="118" t="s">
        <v>6128</v>
      </c>
      <c r="C279" s="119" t="s">
        <v>5670</v>
      </c>
      <c r="D279" s="118" t="str">
        <f>VLOOKUP(C279,'1066'!$C$2:$D$1500,2,0)</f>
        <v>V-StrongLumio napájecí zdroj plochý pro LED 24V 75W (405188)</v>
      </c>
      <c r="E279" s="29"/>
    </row>
    <row r="280" spans="1:5" x14ac:dyDescent="0.25">
      <c r="A280" s="119" t="s">
        <v>6331</v>
      </c>
      <c r="B280" s="118" t="s">
        <v>6129</v>
      </c>
      <c r="C280" s="119" t="s">
        <v>6130</v>
      </c>
      <c r="D280" s="118" t="e">
        <f>VLOOKUP(C280,'1066'!$C$2:$D$1500,2,0)</f>
        <v>#N/A</v>
      </c>
      <c r="E280" s="29"/>
    </row>
    <row r="281" spans="1:5" x14ac:dyDescent="0.25">
      <c r="A281" s="119" t="s">
        <v>5056</v>
      </c>
      <c r="B281" s="118" t="s">
        <v>6131</v>
      </c>
      <c r="C281" s="119" t="s">
        <v>5603</v>
      </c>
      <c r="D281" s="118" t="str">
        <f>VLOOKUP(C281,'1066'!$C$2:$D$1500,2,0)</f>
        <v>V-StrongLumio LED pásek 14,4W/m 24V (120 LED/m) RGB IP20 (406139)</v>
      </c>
      <c r="E281" s="29"/>
    </row>
    <row r="282" spans="1:5" x14ac:dyDescent="0.25">
      <c r="A282" s="119" t="s">
        <v>4850</v>
      </c>
      <c r="B282" s="118" t="s">
        <v>6132</v>
      </c>
      <c r="C282" s="119" t="s">
        <v>5518</v>
      </c>
      <c r="D282" s="118" t="str">
        <f>VLOOKUP(C282,'1066'!$C$2:$D$1500,2,0)</f>
        <v>V-StrongLumio bezdotykový senzor do profilu CCT 12-24V 8A (405195)</v>
      </c>
      <c r="E282" s="29"/>
    </row>
    <row r="283" spans="1:5" x14ac:dyDescent="0.25">
      <c r="A283" s="119" t="s">
        <v>5061</v>
      </c>
      <c r="B283" s="118" t="s">
        <v>6133</v>
      </c>
      <c r="C283" s="119" t="s">
        <v>5609</v>
      </c>
      <c r="D283" s="118" t="str">
        <f>VLOOKUP(C283,'1066'!$C$2:$D$1500,2,0)</f>
        <v>V-StrongLumio LED pásek 14,4W/m 24V CCT 60 LED/m (405176)</v>
      </c>
      <c r="E283" s="29"/>
    </row>
    <row r="284" spans="1:5" x14ac:dyDescent="0.25">
      <c r="A284" s="119" t="s">
        <v>6332</v>
      </c>
      <c r="B284" s="118" t="s">
        <v>6134</v>
      </c>
      <c r="C284" s="119" t="s">
        <v>6135</v>
      </c>
      <c r="D284" s="118" t="e">
        <f>VLOOKUP(C284,'1066'!$C$2:$D$1500,2,0)</f>
        <v>#N/A</v>
      </c>
      <c r="E284" s="29"/>
    </row>
    <row r="285" spans="1:5" x14ac:dyDescent="0.25">
      <c r="A285" s="119" t="s">
        <v>5072</v>
      </c>
      <c r="B285" s="118" t="s">
        <v>6136</v>
      </c>
      <c r="C285" s="119" t="s">
        <v>6137</v>
      </c>
      <c r="D285" s="118" t="e">
        <f>VLOOKUP(C285,'1066'!$C$2:$D$1500,2,0)</f>
        <v>#N/A</v>
      </c>
      <c r="E285" s="29"/>
    </row>
    <row r="286" spans="1:5" x14ac:dyDescent="0.25">
      <c r="A286" s="119" t="s">
        <v>5182</v>
      </c>
      <c r="B286" s="118" t="s">
        <v>6138</v>
      </c>
      <c r="C286" s="119" t="s">
        <v>5680</v>
      </c>
      <c r="D286" s="118" t="str">
        <f>VLOOKUP(C286,'1066'!$C$2:$D$1500,2,0)</f>
        <v>V-StrongLumio podpovrchový vypínač/stmívač 12-24V bílý konektory Mini (405198)</v>
      </c>
      <c r="E286" s="29"/>
    </row>
    <row r="287" spans="1:5" x14ac:dyDescent="0.25">
      <c r="A287" s="119" t="s">
        <v>393</v>
      </c>
      <c r="B287" s="118" t="s">
        <v>6139</v>
      </c>
      <c r="C287" s="119" t="s">
        <v>5571</v>
      </c>
      <c r="D287" s="118" t="str">
        <f>VLOOKUP(C287,'1066'!$C$2:$D$1500,2,0)</f>
        <v>V-StrongLumio krycí lišta C k LED profilům naklapávací černá 2000mm (416707)</v>
      </c>
      <c r="E287" s="29"/>
    </row>
    <row r="288" spans="1:5" x14ac:dyDescent="0.25">
      <c r="A288" s="119" t="s">
        <v>405</v>
      </c>
      <c r="B288" s="118" t="s">
        <v>6140</v>
      </c>
      <c r="C288" s="119" t="s">
        <v>5572</v>
      </c>
      <c r="D288" s="118" t="str">
        <f>VLOOKUP(C288,'1066'!$C$2:$D$1500,2,0)</f>
        <v>V-StrongLumio krycí lišta C k LED profilům naklapávací černá 3000mm (416709)</v>
      </c>
      <c r="E288" s="29"/>
    </row>
    <row r="289" spans="1:5" x14ac:dyDescent="0.25">
      <c r="A289" s="119" t="s">
        <v>411</v>
      </c>
      <c r="B289" s="118" t="s">
        <v>6141</v>
      </c>
      <c r="C289" s="119" t="s">
        <v>5573</v>
      </c>
      <c r="D289" s="118" t="str">
        <f>VLOOKUP(C289,'1066'!$C$2:$D$1500,2,0)</f>
        <v>V-StrongLumio krycí lišta C k LED profilům naklapávací černá 4100mm (416710)</v>
      </c>
      <c r="E289" s="29"/>
    </row>
    <row r="290" spans="1:5" x14ac:dyDescent="0.25">
      <c r="A290" s="119" t="s">
        <v>5074</v>
      </c>
      <c r="B290" s="118" t="s">
        <v>6142</v>
      </c>
      <c r="C290" s="119" t="s">
        <v>5632</v>
      </c>
      <c r="D290" s="118" t="str">
        <f>VLOOKUP(C290,'1066'!$C$2:$D$1500,2,0)</f>
        <v>V-StrongLumio LED pásek 26W/m 24V bílá teplá 304 LED/m (405359)</v>
      </c>
      <c r="E290" s="29"/>
    </row>
    <row r="291" spans="1:5" x14ac:dyDescent="0.25">
      <c r="A291" s="119" t="s">
        <v>5446</v>
      </c>
      <c r="B291" s="118" t="s">
        <v>6143</v>
      </c>
      <c r="C291" s="119" t="s">
        <v>5770</v>
      </c>
      <c r="D291" s="118" t="str">
        <f>VLOOKUP(C291,'1066'!$C$2:$D$1500,2,0)</f>
        <v>V-StrongLumio vypínač/stmívač 12-24V 4A stříbrný konektory Mini (405197)</v>
      </c>
      <c r="E291" s="29"/>
    </row>
    <row r="292" spans="1:5" x14ac:dyDescent="0.25">
      <c r="A292" s="119" t="s">
        <v>4889</v>
      </c>
      <c r="B292" s="118" t="s">
        <v>6144</v>
      </c>
      <c r="C292" s="119" t="s">
        <v>5536</v>
      </c>
      <c r="D292" s="118" t="str">
        <f>VLOOKUP(C292,'1066'!$C$2:$D$1500,2,0)</f>
        <v>V-StrongLumio Dvojlinka 2x0,5mm 2 20AWG bílo-červená (465852)</v>
      </c>
      <c r="E292" s="29"/>
    </row>
    <row r="293" spans="1:5" x14ac:dyDescent="0.25">
      <c r="A293" s="119" t="s">
        <v>5167</v>
      </c>
      <c r="B293" s="118" t="s">
        <v>6145</v>
      </c>
      <c r="C293" s="119" t="s">
        <v>6146</v>
      </c>
      <c r="D293" s="118" t="e">
        <f>VLOOKUP(C293,'1066'!$C$2:$D$1500,2,0)</f>
        <v>#N/A</v>
      </c>
      <c r="E293" s="29"/>
    </row>
    <row r="294" spans="1:5" x14ac:dyDescent="0.25">
      <c r="A294" s="119" t="s">
        <v>5184</v>
      </c>
      <c r="B294" s="118" t="s">
        <v>6147</v>
      </c>
      <c r="C294" s="119" t="s">
        <v>5683</v>
      </c>
      <c r="D294" s="118" t="str">
        <f>VLOOKUP(C294,'1066'!$C$2:$D$1500,2,0)</f>
        <v>V-StrongLumio pohybový vypínač PIR k zafrézování 12-24V 4A Mini (405209)</v>
      </c>
      <c r="E294" s="29"/>
    </row>
    <row r="295" spans="1:5" x14ac:dyDescent="0.25">
      <c r="A295" s="119" t="s">
        <v>5195</v>
      </c>
      <c r="B295" s="118" t="s">
        <v>6148</v>
      </c>
      <c r="C295" s="119" t="s">
        <v>6149</v>
      </c>
      <c r="D295" s="118" t="e">
        <f>VLOOKUP(C295,'1066'!$C$2:$D$1500,2,0)</f>
        <v>#N/A</v>
      </c>
      <c r="E295" s="29"/>
    </row>
    <row r="296" spans="1:5" x14ac:dyDescent="0.25">
      <c r="A296" s="119" t="s">
        <v>5025</v>
      </c>
      <c r="B296" s="118" t="s">
        <v>6150</v>
      </c>
      <c r="C296" s="119" t="s">
        <v>6151</v>
      </c>
      <c r="D296" s="118" t="e">
        <f>VLOOKUP(C296,'1066'!$C$2:$D$1500,2,0)</f>
        <v>#N/A</v>
      </c>
      <c r="E296" s="29"/>
    </row>
    <row r="297" spans="1:5" x14ac:dyDescent="0.25">
      <c r="A297" s="119" t="s">
        <v>4903</v>
      </c>
      <c r="B297" s="118" t="s">
        <v>6152</v>
      </c>
      <c r="C297" s="119" t="s">
        <v>5541</v>
      </c>
      <c r="D297" s="118" t="str">
        <f>VLOOKUP(C297,'1066'!$C$2:$D$1500,2,0)</f>
        <v>V-StrongLumio koncovka pro LED profil Arbona (405213)</v>
      </c>
      <c r="E297" s="29"/>
    </row>
    <row r="298" spans="1:5" x14ac:dyDescent="0.25">
      <c r="A298" s="119" t="s">
        <v>4979</v>
      </c>
      <c r="B298" s="118" t="s">
        <v>6153</v>
      </c>
      <c r="C298" s="119" t="s">
        <v>5582</v>
      </c>
      <c r="D298" s="118" t="str">
        <f>VLOOKUP(C298,'1066'!$C$2:$D$1500,2,0)</f>
        <v>V-StrongLumio krycí lišta C2 k profilu Slim/Smart10 naklapávací mléčná 2000mm</v>
      </c>
      <c r="E298" s="29"/>
    </row>
    <row r="299" spans="1:5" x14ac:dyDescent="0.25">
      <c r="A299" s="119" t="s">
        <v>5347</v>
      </c>
      <c r="B299" s="118" t="s">
        <v>6154</v>
      </c>
      <c r="C299" s="119" t="s">
        <v>5757</v>
      </c>
      <c r="D299" s="118" t="str">
        <f>VLOOKUP(C299,'1066'!$C$2:$D$1500,2,0)</f>
        <v>V-StrongLumio řídící jednotka WiFi univerzální 5 v 1 - Smart (467117)</v>
      </c>
      <c r="E299" s="29"/>
    </row>
    <row r="300" spans="1:5" x14ac:dyDescent="0.25">
      <c r="A300" s="119" t="s">
        <v>4878</v>
      </c>
      <c r="B300" s="118" t="s">
        <v>6155</v>
      </c>
      <c r="C300" s="119" t="s">
        <v>5529</v>
      </c>
      <c r="D300" s="118" t="str">
        <f>VLOOKUP(C300,'1066'!$C$2:$D$1500,2,0)</f>
        <v>V-StrongLumio dálkový ovladač RF univerzální 2 v 1 (467118)</v>
      </c>
      <c r="E300" s="29"/>
    </row>
    <row r="301" spans="1:5" x14ac:dyDescent="0.25">
      <c r="A301" s="128" t="s">
        <v>5183</v>
      </c>
      <c r="B301" s="129" t="s">
        <v>6040</v>
      </c>
      <c r="C301" s="128" t="s">
        <v>5681</v>
      </c>
      <c r="D301" s="118" t="str">
        <f>VLOOKUP(C301,'1066'!$C$2:$D$1500,2,0)</f>
        <v>V-StrongLumio pohybový senzor do profilu 12-24V, 8A (405196)</v>
      </c>
      <c r="E301" s="29"/>
    </row>
    <row r="302" spans="1:5" x14ac:dyDescent="0.25">
      <c r="A302" s="119" t="s">
        <v>5210</v>
      </c>
      <c r="B302" s="118" t="s">
        <v>6156</v>
      </c>
      <c r="C302" s="119" t="s">
        <v>5698</v>
      </c>
      <c r="D302" s="118" t="str">
        <f>VLOOKUP(C302,'1066'!$C$2:$D$1500,2,0)</f>
        <v>V-StrongLumio profil LED Cabi12 E alu černý 3000mm (484130)</v>
      </c>
      <c r="E302" s="118"/>
    </row>
    <row r="303" spans="1:5" x14ac:dyDescent="0.25">
      <c r="A303" s="119" t="s">
        <v>4921</v>
      </c>
      <c r="B303" s="118" t="s">
        <v>6157</v>
      </c>
      <c r="C303" s="119" t="s">
        <v>5552</v>
      </c>
      <c r="D303" s="118" t="str">
        <f>VLOOKUP(C303,'1066'!$C$2:$D$1500,2,0)</f>
        <v>V-StrongLumio koncovky k liště Cabi černá (pár) (315781)</v>
      </c>
      <c r="E303" s="29"/>
    </row>
    <row r="304" spans="1:5" x14ac:dyDescent="0.25">
      <c r="A304" s="119" t="s">
        <v>4984</v>
      </c>
      <c r="B304" s="118" t="s">
        <v>6158</v>
      </c>
      <c r="C304" s="119" t="s">
        <v>5583</v>
      </c>
      <c r="D304" s="118" t="str">
        <f>VLOOKUP(C304,'1066'!$C$2:$D$1500,2,0)</f>
        <v>V-StrongLumio krycí lišta E k profilu Cabi naklap/výsuvná průsv. 3000mm (469094)</v>
      </c>
      <c r="E304" s="29"/>
    </row>
    <row r="305" spans="1:5" x14ac:dyDescent="0.25">
      <c r="A305" s="119" t="s">
        <v>4866</v>
      </c>
      <c r="B305" s="118" t="s">
        <v>6159</v>
      </c>
      <c r="C305" s="119" t="s">
        <v>5525</v>
      </c>
      <c r="D305" s="118" t="str">
        <f>VLOOKUP(C305,'1066'!$C$2:$D$1500,2,0)</f>
        <v>V-StrongLumio bezdrátový vypínač samonapájecí - zlatá, 2 tlačítka (467130)</v>
      </c>
      <c r="E305" s="29"/>
    </row>
    <row r="306" spans="1:5" x14ac:dyDescent="0.25">
      <c r="A306" s="119" t="s">
        <v>5324</v>
      </c>
      <c r="B306" s="118" t="s">
        <v>6160</v>
      </c>
      <c r="C306" s="119" t="s">
        <v>5750</v>
      </c>
      <c r="D306" s="118" t="str">
        <f>VLOOKUP(C306,'1066'!$C$2:$D$1500,2,0)</f>
        <v>V-StrongLumio přijímač pro bezdrátové samonapájecí vypínače 12/24V (467133)</v>
      </c>
      <c r="E306" s="29"/>
    </row>
    <row r="307" spans="1:5" x14ac:dyDescent="0.25">
      <c r="A307" s="119" t="s">
        <v>5095</v>
      </c>
      <c r="B307" s="118" t="s">
        <v>6161</v>
      </c>
      <c r="C307" s="119" t="s">
        <v>5625</v>
      </c>
      <c r="D307" s="118" t="str">
        <f>VLOOKUP(C307,'1066'!$C$2:$D$1500,2,0)</f>
        <v>V-StrongLumio LED pásek 24V COB 14W/m (512 LED/m) - 10mm - studená bílá (472107)</v>
      </c>
      <c r="E307" s="29"/>
    </row>
    <row r="308" spans="1:5" x14ac:dyDescent="0.25">
      <c r="A308" s="119" t="s">
        <v>4859</v>
      </c>
      <c r="B308" s="118" t="s">
        <v>6162</v>
      </c>
      <c r="C308" s="119" t="s">
        <v>5521</v>
      </c>
      <c r="D308" s="118" t="str">
        <f>VLOOKUP(C308,'1066'!$C$2:$D$1500,2,0)</f>
        <v>V-StrongLumio bezdrátový vypínač samonapájecí - bílá, 1 tlačítko (467125)</v>
      </c>
      <c r="E308" s="29"/>
    </row>
    <row r="309" spans="1:5" x14ac:dyDescent="0.25">
      <c r="A309" s="119" t="s">
        <v>5094</v>
      </c>
      <c r="B309" s="118" t="s">
        <v>6163</v>
      </c>
      <c r="C309" s="119" t="s">
        <v>5627</v>
      </c>
      <c r="D309" s="118" t="str">
        <f>VLOOKUP(C309,'1066'!$C$2:$D$1500,2,0)</f>
        <v>V-StrongLumio LED pásek 24V COB 14W/m (512 LED/m) -10mm- neutrální bílá (472108)</v>
      </c>
      <c r="E309" s="29"/>
    </row>
    <row r="310" spans="1:5" x14ac:dyDescent="0.25">
      <c r="A310" s="119" t="s">
        <v>5096</v>
      </c>
      <c r="B310" s="118" t="s">
        <v>6164</v>
      </c>
      <c r="C310" s="119" t="s">
        <v>5626</v>
      </c>
      <c r="D310" s="118" t="str">
        <f>VLOOKUP(C310,'1066'!$C$2:$D$1500,2,0)</f>
        <v>V-StrongLumio LED pásek 24V COB 14W/m (512 LED/m) - 10mm - teplá bílá (472109)</v>
      </c>
      <c r="E310" s="29"/>
    </row>
    <row r="311" spans="1:5" x14ac:dyDescent="0.25">
      <c r="A311" s="119" t="s">
        <v>5089</v>
      </c>
      <c r="B311" s="118" t="s">
        <v>6165</v>
      </c>
      <c r="C311" s="119" t="s">
        <v>5629</v>
      </c>
      <c r="D311" s="118" t="str">
        <f>VLOOKUP(C311,'1066'!$C$2:$D$1500,2,0)</f>
        <v>V-StrongLumio LED pásek 24V COB 22W/m (608 LED/m) - 10mm - CCT (472110)</v>
      </c>
      <c r="E311" s="29"/>
    </row>
    <row r="312" spans="1:5" x14ac:dyDescent="0.25">
      <c r="A312" s="119" t="s">
        <v>5097</v>
      </c>
      <c r="B312" s="118" t="s">
        <v>6166</v>
      </c>
      <c r="C312" s="119" t="s">
        <v>5628</v>
      </c>
      <c r="D312" s="118" t="str">
        <f>VLOOKUP(C312,'1066'!$C$2:$D$1500,2,0)</f>
        <v>V-StrongLumio LED pásek 24V COB 15W/m (840 LED/m) RGB (472111)</v>
      </c>
      <c r="E312" s="29"/>
    </row>
    <row r="313" spans="1:5" x14ac:dyDescent="0.25">
      <c r="A313" s="119" t="s">
        <v>5067</v>
      </c>
      <c r="B313" s="118" t="s">
        <v>6167</v>
      </c>
      <c r="C313" s="119" t="s">
        <v>5620</v>
      </c>
      <c r="D313" s="118" t="str">
        <f>VLOOKUP(C313,'1066'!$C$2:$D$1500,2,0)</f>
        <v>V-StrongLumio LED pásek 24V 5v1 14,4W/m (60 LED/m) RGBCCT (472112)</v>
      </c>
      <c r="E313" s="29"/>
    </row>
    <row r="314" spans="1:5" x14ac:dyDescent="0.25">
      <c r="A314" s="119" t="s">
        <v>5051</v>
      </c>
      <c r="B314" s="118" t="s">
        <v>6168</v>
      </c>
      <c r="C314" s="119" t="s">
        <v>5604</v>
      </c>
      <c r="D314" s="118" t="str">
        <f>VLOOKUP(C314,'1066'!$C$2:$D$1500,2,0)</f>
        <v>V-StrongLumio LED pásek 14,4W/m 24V (60 LED/m) RGBW neutrální bílá (472113)</v>
      </c>
      <c r="E314" s="29"/>
    </row>
    <row r="315" spans="1:5" x14ac:dyDescent="0.25">
      <c r="A315" s="119" t="s">
        <v>5052</v>
      </c>
      <c r="B315" s="118" t="s">
        <v>6169</v>
      </c>
      <c r="C315" s="119" t="s">
        <v>5605</v>
      </c>
      <c r="D315" s="118" t="str">
        <f>VLOOKUP(C315,'1066'!$C$2:$D$1500,2,0)</f>
        <v>V-StrongLumio LED pásek 14,4W/m 24V (60 LED/m) RGBW studená bílá (472114)</v>
      </c>
      <c r="E315" s="29"/>
    </row>
    <row r="316" spans="1:5" x14ac:dyDescent="0.25">
      <c r="A316" s="119" t="s">
        <v>6333</v>
      </c>
      <c r="B316" s="118" t="s">
        <v>6170</v>
      </c>
      <c r="C316" s="119" t="s">
        <v>5621</v>
      </c>
      <c r="D316" s="118" t="e">
        <f>VLOOKUP(C316,'1066'!$C$2:$D$1500,2,0)</f>
        <v>#N/A</v>
      </c>
      <c r="E316" s="29"/>
    </row>
    <row r="317" spans="1:5" x14ac:dyDescent="0.25">
      <c r="A317" s="119" t="s">
        <v>4861</v>
      </c>
      <c r="B317" s="118" t="s">
        <v>6171</v>
      </c>
      <c r="C317" s="119" t="s">
        <v>5523</v>
      </c>
      <c r="D317" s="118" t="str">
        <f>VLOOKUP(C317,'1066'!$C$2:$D$1500,2,0)</f>
        <v>V-StrongLumio bezdrátový vypínač samonapájecí - stříbrná, 1 tlačítko (467129)</v>
      </c>
      <c r="E317" s="29"/>
    </row>
    <row r="318" spans="1:5" x14ac:dyDescent="0.25">
      <c r="A318" s="119" t="s">
        <v>4876</v>
      </c>
      <c r="B318" s="118" t="s">
        <v>6172</v>
      </c>
      <c r="C318" s="119" t="s">
        <v>5528</v>
      </c>
      <c r="D318" s="118" t="str">
        <f>VLOOKUP(C318,'1066'!$C$2:$D$1500,2,0)</f>
        <v>V-StrongLumio dálkový ovladač otočný DIM/CCT/RGB/RGBW - 1 zóna (467120)</v>
      </c>
      <c r="E318" s="29"/>
    </row>
    <row r="319" spans="1:5" x14ac:dyDescent="0.25">
      <c r="A319" s="119" t="s">
        <v>5179</v>
      </c>
      <c r="B319" s="118" t="s">
        <v>6173</v>
      </c>
      <c r="C319" s="119" t="s">
        <v>5678</v>
      </c>
      <c r="D319" s="118" t="str">
        <f>VLOOKUP(C319,'1066'!$C$2:$D$1500,2,0)</f>
        <v>V-StrongLumio plochý RGBCCT kabel (šestilinka) (489472)</v>
      </c>
      <c r="E319" s="29"/>
    </row>
    <row r="320" spans="1:5" ht="60" x14ac:dyDescent="0.25">
      <c r="A320" s="119" t="s">
        <v>4973</v>
      </c>
      <c r="B320" s="118" t="s">
        <v>6174</v>
      </c>
      <c r="C320" s="119" t="s">
        <v>6175</v>
      </c>
      <c r="D320" s="118" t="e">
        <f>VLOOKUP(C320,'1066'!$C$2:$D$1500,2,0)</f>
        <v>#N/A</v>
      </c>
      <c r="E320" s="130" t="s">
        <v>6176</v>
      </c>
    </row>
    <row r="321" spans="1:5" x14ac:dyDescent="0.25">
      <c r="A321" s="119" t="s">
        <v>6334</v>
      </c>
      <c r="B321" s="118" t="s">
        <v>6177</v>
      </c>
      <c r="C321" s="119" t="s">
        <v>6178</v>
      </c>
      <c r="D321" s="118" t="e">
        <f>VLOOKUP(C321,'1066'!$C$2:$D$1500,2,0)</f>
        <v>#N/A</v>
      </c>
      <c r="E321" s="29"/>
    </row>
    <row r="322" spans="1:5" x14ac:dyDescent="0.25">
      <c r="A322" s="119" t="s">
        <v>4769</v>
      </c>
      <c r="B322" s="118" t="s">
        <v>6179</v>
      </c>
      <c r="C322" s="119" t="s">
        <v>5512</v>
      </c>
      <c r="D322" s="118" t="str">
        <f>VLOOKUP(C322,'1066'!$C$2:$D$1500,2,0)</f>
        <v>V-napájecí zdroj MEAN WELL XLG-200-12-A, 12V, 200W, IP67 (482682)</v>
      </c>
      <c r="E322" s="29"/>
    </row>
    <row r="323" spans="1:5" x14ac:dyDescent="0.25">
      <c r="A323" s="119" t="s">
        <v>5131</v>
      </c>
      <c r="B323" s="118" t="s">
        <v>6180</v>
      </c>
      <c r="C323" s="119" t="s">
        <v>5657</v>
      </c>
      <c r="D323" s="118" t="str">
        <f>VLOOKUP(C323,'1066'!$C$2:$D$1500,2,0)</f>
        <v>V-StrongLumio lepící páska oboustr. 12mm pro LED profily super silná 5m (467484)</v>
      </c>
      <c r="E323" s="29"/>
    </row>
    <row r="324" spans="1:5" x14ac:dyDescent="0.25">
      <c r="A324" s="119" t="s">
        <v>4865</v>
      </c>
      <c r="B324" s="118" t="s">
        <v>6181</v>
      </c>
      <c r="C324" s="119" t="s">
        <v>5524</v>
      </c>
      <c r="D324" s="118" t="str">
        <f>VLOOKUP(C324,'1066'!$C$2:$D$1500,2,0)</f>
        <v>V-StrongLumio bezdrátový vypínač samonapájecí - stříbrná, 2 tlačítka (467131)</v>
      </c>
      <c r="E324" s="29"/>
    </row>
    <row r="325" spans="1:5" x14ac:dyDescent="0.25">
      <c r="A325" s="119" t="s">
        <v>5092</v>
      </c>
      <c r="B325" s="118" t="s">
        <v>6182</v>
      </c>
      <c r="C325" s="119" t="s">
        <v>5623</v>
      </c>
      <c r="D325" s="118" t="str">
        <f>VLOOKUP(C325,'1066'!$C$2:$D$1500,2,0)</f>
        <v>V-StrongLumio LED pásek 24V COB 12W/m (480 LED/m) - 8mm - teplá bílá (491417)</v>
      </c>
      <c r="E325" s="29"/>
    </row>
    <row r="326" spans="1:5" x14ac:dyDescent="0.25">
      <c r="A326" s="119" t="s">
        <v>5091</v>
      </c>
      <c r="B326" s="118" t="s">
        <v>6183</v>
      </c>
      <c r="C326" s="119" t="s">
        <v>5622</v>
      </c>
      <c r="D326" s="118" t="str">
        <f>VLOOKUP(C326,'1066'!$C$2:$D$1500,2,0)</f>
        <v>V-StrongLumio LED pásek 24V COB 12W/m (480 LED/m) - 8mm - studená bílá (491416)</v>
      </c>
      <c r="E326" s="29"/>
    </row>
    <row r="327" spans="1:5" x14ac:dyDescent="0.25">
      <c r="A327" s="119" t="s">
        <v>5130</v>
      </c>
      <c r="B327" s="118" t="s">
        <v>6184</v>
      </c>
      <c r="C327" s="119" t="s">
        <v>5658</v>
      </c>
      <c r="D327" s="118" t="str">
        <f>VLOOKUP(C327,'1066'!$C$2:$D$1500,2,0)</f>
        <v>V-StrongLumio lepící páska oboustranná  pro LED profily super silná 25m (471803)</v>
      </c>
      <c r="E327" s="29"/>
    </row>
    <row r="328" spans="1:5" x14ac:dyDescent="0.25">
      <c r="A328" s="119" t="s">
        <v>4884</v>
      </c>
      <c r="B328" s="118" t="s">
        <v>6185</v>
      </c>
      <c r="C328" s="119" t="s">
        <v>5532</v>
      </c>
      <c r="D328" s="118" t="str">
        <f>VLOOKUP(C328,'1066'!$C$2:$D$1500,2,0)</f>
        <v>V-StrongLumio dveřní senzor alu 12/24V 48/96W 4A bílý konektory Mini (405915)</v>
      </c>
      <c r="E328" s="29"/>
    </row>
    <row r="329" spans="1:5" x14ac:dyDescent="0.25">
      <c r="A329" s="119" t="s">
        <v>4885</v>
      </c>
      <c r="B329" s="118" t="s">
        <v>6186</v>
      </c>
      <c r="C329" s="119" t="s">
        <v>5533</v>
      </c>
      <c r="D329" s="118" t="str">
        <f>VLOOKUP(C329,'1066'!$C$2:$D$1500,2,0)</f>
        <v>V-StrongLumio dveřní senzor alu 12/24V 48/96W 4A černý konektory Mini (405916)</v>
      </c>
      <c r="E329" s="29"/>
    </row>
    <row r="330" spans="1:5" x14ac:dyDescent="0.25">
      <c r="A330" s="119" t="s">
        <v>5090</v>
      </c>
      <c r="B330" s="118" t="s">
        <v>6187</v>
      </c>
      <c r="C330" s="119" t="s">
        <v>5624</v>
      </c>
      <c r="D330" s="118" t="str">
        <f>VLOOKUP(C330,'1066'!$C$2:$D$1500,2,0)</f>
        <v>V-StrongLumio LED pásek 24V COB 12W/m (480 LED/m) -8mm - neutrální bílá (491405)</v>
      </c>
      <c r="E330" s="29"/>
    </row>
    <row r="331" spans="1:5" x14ac:dyDescent="0.25">
      <c r="A331" s="119" t="s">
        <v>5140</v>
      </c>
      <c r="B331" s="118" t="s">
        <v>6188</v>
      </c>
      <c r="C331" s="119" t="s">
        <v>5660</v>
      </c>
      <c r="D331" s="118" t="str">
        <f>VLOOKUP(C331,'1066'!$C$2:$D$1500,2,0)</f>
        <v>V-StrongLumio napájecí zdroj 24V-36W (6x mini konektor + 1x 3PIN sens.) (484188)</v>
      </c>
      <c r="E331" s="29"/>
    </row>
    <row r="332" spans="1:5" x14ac:dyDescent="0.25">
      <c r="A332" s="119" t="s">
        <v>5142</v>
      </c>
      <c r="B332" s="118" t="s">
        <v>6189</v>
      </c>
      <c r="C332" s="119" t="s">
        <v>6190</v>
      </c>
      <c r="D332" s="118" t="e">
        <f>VLOOKUP(C332,'1066'!$C$2:$D$1500,2,0)</f>
        <v>#N/A</v>
      </c>
      <c r="E332" s="29"/>
    </row>
    <row r="333" spans="1:5" x14ac:dyDescent="0.25">
      <c r="A333" s="119" t="s">
        <v>5134</v>
      </c>
      <c r="B333" s="118" t="s">
        <v>6191</v>
      </c>
      <c r="C333" s="119" t="s">
        <v>5659</v>
      </c>
      <c r="D333" s="118" t="str">
        <f>VLOOKUP(C333,'1066'!$C$2:$D$1500,2,0)</f>
        <v>V-StrongLumio napájecí DC zdířka 2,1mm se svorkovnicí (381175)</v>
      </c>
      <c r="E333" s="29"/>
    </row>
    <row r="334" spans="1:5" x14ac:dyDescent="0.25">
      <c r="A334" s="119" t="s">
        <v>4860</v>
      </c>
      <c r="B334" s="118" t="s">
        <v>6192</v>
      </c>
      <c r="C334" s="119" t="s">
        <v>5522</v>
      </c>
      <c r="D334" s="118" t="str">
        <f>VLOOKUP(C334,'1066'!$C$2:$D$1500,2,0)</f>
        <v>V-StrongLumio bezdrátový vypínač samonapájecí - černá, 1 tlačítko (491230)</v>
      </c>
      <c r="E334" s="29"/>
    </row>
    <row r="335" spans="1:5" x14ac:dyDescent="0.25">
      <c r="A335" s="119" t="s">
        <v>5778</v>
      </c>
      <c r="B335" s="118" t="s">
        <v>4680</v>
      </c>
      <c r="C335" s="119" t="s">
        <v>5775</v>
      </c>
      <c r="D335" s="118" t="str">
        <f>VLOOKUP(C335,'1066'!$C$2:$D$1500,2,0)</f>
        <v>V-Wago svorka 3x2,5mm (507264)</v>
      </c>
      <c r="E335" s="29"/>
    </row>
    <row r="336" spans="1:5" x14ac:dyDescent="0.25">
      <c r="A336" s="119" t="s">
        <v>4896</v>
      </c>
      <c r="B336" s="118" t="s">
        <v>1427</v>
      </c>
      <c r="C336" s="119" t="s">
        <v>5538</v>
      </c>
      <c r="D336" s="118" t="str">
        <f>VLOOKUP(C336,'1066'!$C$2:$D$1500,2,0)</f>
        <v>V-StrongLumio flexibilní dotykový vypínač/stmívač do alu profilu (507818)</v>
      </c>
      <c r="E336" s="29"/>
    </row>
    <row r="337" spans="1:5" x14ac:dyDescent="0.25">
      <c r="A337" s="119" t="s">
        <v>5114</v>
      </c>
      <c r="B337" s="118" t="s">
        <v>6193</v>
      </c>
      <c r="C337" s="119" t="s">
        <v>6194</v>
      </c>
      <c r="D337" s="118" t="e">
        <f>VLOOKUP(C337,'1066'!$C$2:$D$1500,2,0)</f>
        <v>#N/A</v>
      </c>
      <c r="E337" s="29"/>
    </row>
    <row r="338" spans="1:5" x14ac:dyDescent="0.25">
      <c r="A338" s="119" t="s">
        <v>5362</v>
      </c>
      <c r="B338" s="118" t="s">
        <v>6195</v>
      </c>
      <c r="C338" s="119" t="s">
        <v>5758</v>
      </c>
      <c r="D338" s="118" t="str">
        <f>VLOOKUP(C338,'1066'!$C$2:$D$1500,2,0)</f>
        <v>V-StrongLumio silikon. ohebný profil 8x16mm pro LED pásky do 10W/m 10mm (406053)</v>
      </c>
      <c r="E338" s="29"/>
    </row>
    <row r="339" spans="1:5" x14ac:dyDescent="0.25">
      <c r="A339" s="119" t="s">
        <v>333</v>
      </c>
      <c r="B339" s="118" t="s">
        <v>6196</v>
      </c>
      <c r="C339" s="119" t="s">
        <v>5558</v>
      </c>
      <c r="D339" s="118" t="str">
        <f>VLOOKUP(C339,'1066'!$C$2:$D$1500,2,0)</f>
        <v>V-StrongLumio koncovky k liště Groove 10 rovná šedá (pár) (472101)</v>
      </c>
      <c r="E339" s="29"/>
    </row>
    <row r="340" spans="1:5" x14ac:dyDescent="0.25">
      <c r="A340" s="119" t="s">
        <v>5114</v>
      </c>
      <c r="B340" s="118" t="s">
        <v>6193</v>
      </c>
      <c r="C340" s="119" t="s">
        <v>5645</v>
      </c>
      <c r="D340" s="118" t="str">
        <f>VLOOKUP(C340,'1066'!$C$2:$D$1500,2,0)</f>
        <v>V-StrongLumio LED pásek 9,6W/m 24V (120 LED) bílá teplá neon IP67 (405177)</v>
      </c>
      <c r="E340" s="29"/>
    </row>
    <row r="341" spans="1:5" x14ac:dyDescent="0.25">
      <c r="A341" s="119" t="s">
        <v>4913</v>
      </c>
      <c r="B341" s="118" t="s">
        <v>1490</v>
      </c>
      <c r="C341" s="119" t="s">
        <v>5543</v>
      </c>
      <c r="D341" s="118" t="str">
        <f>VLOOKUP(C341,'1066'!$C$2:$D$1500,2,0)</f>
        <v>V-StrongLumio koncovka pro silikonový profil 8x16mm, bez otvoru (406054)</v>
      </c>
      <c r="E341" s="29"/>
    </row>
    <row r="342" spans="1:5" x14ac:dyDescent="0.25">
      <c r="A342" s="119" t="s">
        <v>4908</v>
      </c>
      <c r="B342" s="118" t="s">
        <v>1473</v>
      </c>
      <c r="C342" s="119" t="s">
        <v>5540</v>
      </c>
      <c r="D342" s="118" t="str">
        <f>VLOOKUP(C342,'1066'!$C$2:$D$1500,2,0)</f>
        <v>V-StrongLumio koncovka pro LED pásek neon, bez otvoru (405477)</v>
      </c>
      <c r="E342" s="29"/>
    </row>
    <row r="343" spans="1:5" x14ac:dyDescent="0.25">
      <c r="A343" s="119" t="s">
        <v>264</v>
      </c>
      <c r="B343" s="118" t="s">
        <v>463</v>
      </c>
      <c r="C343" s="119" t="s">
        <v>5564</v>
      </c>
      <c r="D343" s="118" t="str">
        <f>VLOOKUP(C343,'1066'!$C$2:$D$1500,2,0)</f>
        <v>V-StrongLumio koncovky k profilu Begton 12 oblá šedá (pár) (405277)</v>
      </c>
      <c r="E343" s="29"/>
    </row>
    <row r="344" spans="1:5" x14ac:dyDescent="0.25">
      <c r="A344" s="119" t="s">
        <v>5084</v>
      </c>
      <c r="B344" s="118" t="s">
        <v>6197</v>
      </c>
      <c r="C344" s="119" t="s">
        <v>5592</v>
      </c>
      <c r="D344" s="118" t="str">
        <f>VLOOKUP(C344,'1066'!$C$2:$D$1500,2,0)</f>
        <v>V-StrongLumio LED pásek 12V COB 10W/m (480 LED/m) - 8mm - teplá bílá (509065)</v>
      </c>
      <c r="E344" s="29"/>
    </row>
    <row r="345" spans="1:5" x14ac:dyDescent="0.25">
      <c r="A345" s="119" t="s">
        <v>5082</v>
      </c>
      <c r="B345" s="118" t="s">
        <v>6198</v>
      </c>
      <c r="C345" s="119" t="s">
        <v>5593</v>
      </c>
      <c r="D345" s="118" t="str">
        <f>VLOOKUP(C345,'1066'!$C$2:$D$1500,2,0)</f>
        <v>V-StrongLumio LED pásek 12V COB 10W/m (480 LED/m)-8mm-neutrální bílá (509066)</v>
      </c>
      <c r="E345" s="29"/>
    </row>
    <row r="346" spans="1:5" x14ac:dyDescent="0.25">
      <c r="A346" s="119" t="s">
        <v>5083</v>
      </c>
      <c r="B346" s="118" t="s">
        <v>6199</v>
      </c>
      <c r="C346" s="119" t="s">
        <v>5591</v>
      </c>
      <c r="D346" s="118" t="str">
        <f>VLOOKUP(C346,'1066'!$C$2:$D$1500,2,0)</f>
        <v>V-StrongLumio LED pásek 12V COB 10W/m (480 LED/m) - 8mm - studená bílá(509067)</v>
      </c>
      <c r="E346" s="29"/>
    </row>
    <row r="347" spans="1:5" x14ac:dyDescent="0.25">
      <c r="A347" s="119" t="s">
        <v>4766</v>
      </c>
      <c r="B347" s="118" t="s">
        <v>1027</v>
      </c>
      <c r="C347" s="119" t="s">
        <v>5509</v>
      </c>
      <c r="D347" s="118" t="str">
        <f>VLOOKUP(C347,'1066'!$C$2:$D$1500,2,0)</f>
        <v>V-MEAN WELL napájecí zdroj HLG-320H-24-A, 24V, 320W, IP67 (482686)</v>
      </c>
      <c r="E347" s="29"/>
    </row>
    <row r="348" spans="1:5" x14ac:dyDescent="0.25">
      <c r="A348" s="119" t="s">
        <v>5101</v>
      </c>
      <c r="B348" s="118" t="s">
        <v>587</v>
      </c>
      <c r="C348" s="119" t="s">
        <v>5630</v>
      </c>
      <c r="D348" s="118" t="str">
        <f>VLOOKUP(C348,'1066'!$C$2:$D$1500,2,0)</f>
        <v>V-StrongLumio LED pásek 24V COB 8W/m (320 LED/m) 5mm, bílá neutrální (544585)</v>
      </c>
      <c r="E348" s="29"/>
    </row>
    <row r="349" spans="1:5" x14ac:dyDescent="0.25">
      <c r="A349" s="119" t="s">
        <v>4768</v>
      </c>
      <c r="B349" s="118" t="s">
        <v>1035</v>
      </c>
      <c r="C349" s="119" t="s">
        <v>5510</v>
      </c>
      <c r="D349" s="118" t="str">
        <f>VLOOKUP(C349,'1066'!$C$2:$D$1500,2,0)</f>
        <v>V-MEAN WELL napájecí zdroj XLG-150-24-A, 24V, 150W, IP67 (482670)</v>
      </c>
      <c r="E349" s="29"/>
    </row>
    <row r="350" spans="1:5" x14ac:dyDescent="0.25">
      <c r="A350" s="119" t="s">
        <v>5010</v>
      </c>
      <c r="B350" s="118" t="s">
        <v>1903</v>
      </c>
      <c r="C350" s="119" t="s">
        <v>5584</v>
      </c>
      <c r="D350" s="118" t="str">
        <f>VLOOKUP(C350,'1066'!$C$2:$D$1500,2,0)</f>
        <v>V-StrongLumio krycí lišta K k profilu Floor naklapávací mléčná 3000mm (367363)</v>
      </c>
      <c r="E350" s="29"/>
    </row>
    <row r="351" spans="1:5" x14ac:dyDescent="0.25">
      <c r="A351" s="119" t="s">
        <v>5237</v>
      </c>
      <c r="B351" s="118" t="s">
        <v>2662</v>
      </c>
      <c r="C351" s="119" t="s">
        <v>5711</v>
      </c>
      <c r="D351" s="118" t="str">
        <f>VLOOKUP(C351,'1066'!$C$2:$D$1500,2,0)</f>
        <v>V-StrongLumio profil LED Floor 12 alu anodovaný 3000mm (367362)</v>
      </c>
      <c r="E351" s="29"/>
    </row>
    <row r="352" spans="1:5" x14ac:dyDescent="0.25">
      <c r="A352" s="119" t="s">
        <v>5240</v>
      </c>
      <c r="B352" s="118" t="s">
        <v>2674</v>
      </c>
      <c r="C352" s="119" t="s">
        <v>5712</v>
      </c>
      <c r="D352" s="118" t="str">
        <f>VLOOKUP(C352,'1066'!$C$2:$D$1500,2,0)</f>
        <v>V-StrongLumio profil LED Floor 8 alu anodovaný 3000mm (550330)</v>
      </c>
      <c r="E352" s="29"/>
    </row>
    <row r="353" spans="1:5" x14ac:dyDescent="0.25">
      <c r="A353" s="119" t="s">
        <v>5108</v>
      </c>
      <c r="B353" s="118" t="s">
        <v>582</v>
      </c>
      <c r="C353" s="119" t="s">
        <v>5648</v>
      </c>
      <c r="D353" s="118" t="str">
        <f>VLOOKUP(C353,'1066'!$C$2:$D$1500,2,0)</f>
        <v>V-StrongLumio LED pásek free cut COB 24V 12W/m, 8mm, bílá neutrální (544592)</v>
      </c>
      <c r="E353" s="29"/>
    </row>
    <row r="354" spans="1:5" x14ac:dyDescent="0.25">
      <c r="A354" s="119" t="s">
        <v>5151</v>
      </c>
      <c r="B354" s="118" t="s">
        <v>2255</v>
      </c>
      <c r="C354" s="119" t="s">
        <v>5667</v>
      </c>
      <c r="D354" s="118" t="str">
        <f>VLOOKUP(C354,'1066'!$C$2:$D$1500,2,0)</f>
        <v>V-StrongLumio napájecí zdroj plochý pro LED 24V - 30W (544907)</v>
      </c>
      <c r="E354" s="29"/>
    </row>
    <row r="355" spans="1:5" x14ac:dyDescent="0.25">
      <c r="A355" s="119" t="s">
        <v>5152</v>
      </c>
      <c r="B355" s="118" t="s">
        <v>2259</v>
      </c>
      <c r="C355" s="119" t="s">
        <v>5668</v>
      </c>
      <c r="D355" s="118" t="str">
        <f>VLOOKUP(C355,'1066'!$C$2:$D$1500,2,0)</f>
        <v>V-StrongLumio napájecí zdroj plochý pro LED 24V - 50W (544902)</v>
      </c>
      <c r="E355" s="29"/>
    </row>
    <row r="356" spans="1:5" x14ac:dyDescent="0.25">
      <c r="A356" s="119" t="s">
        <v>5103</v>
      </c>
      <c r="B356" s="118" t="s">
        <v>555</v>
      </c>
      <c r="C356" s="119" t="s">
        <v>5647</v>
      </c>
      <c r="D356" s="118" t="str">
        <f>VLOOKUP(C356,'1066'!$C$2:$D$1500,2,0)</f>
        <v>V-StrongLumio LED pásek COB 24V 8W/m (320 LED/m) 5mm, bílá teplá (544584)</v>
      </c>
      <c r="E356" s="29"/>
    </row>
    <row r="357" spans="1:5" x14ac:dyDescent="0.25">
      <c r="A357" s="119" t="s">
        <v>5117</v>
      </c>
      <c r="B357" s="118" t="s">
        <v>624</v>
      </c>
      <c r="C357" s="119" t="s">
        <v>5618</v>
      </c>
      <c r="D357" s="118" t="str">
        <f>VLOOKUP(C357,'1066'!$C$2:$D$1500,2,0)</f>
        <v>V-StrongLumio LED pásek 24V 12W/m (160 LED/m) 8mm, bílá neutrální (544701)</v>
      </c>
      <c r="E357" s="29"/>
    </row>
    <row r="358" spans="1:5" x14ac:dyDescent="0.25">
      <c r="A358" s="119" t="s">
        <v>5120</v>
      </c>
      <c r="B358" s="118" t="s">
        <v>629</v>
      </c>
      <c r="C358" s="119" t="s">
        <v>5619</v>
      </c>
      <c r="D358" s="118" t="str">
        <f>VLOOKUP(C358,'1066'!$C$2:$D$1500,2,0)</f>
        <v>V-StrongLumio LED pásek 24V 20W/m(240 LED/m) 10mm, bílá neutrální (544704)</v>
      </c>
      <c r="E358" s="29"/>
    </row>
    <row r="359" spans="1:5" x14ac:dyDescent="0.25">
      <c r="A359" s="119" t="s">
        <v>5115</v>
      </c>
      <c r="B359" s="118" t="s">
        <v>762</v>
      </c>
      <c r="C359" s="119" t="s">
        <v>5649</v>
      </c>
      <c r="D359" s="118" t="str">
        <f>VLOOKUP(C359,'1066'!$C$2:$D$1500,2,0)</f>
        <v>V-StrongLumio LED pásek neon 6x12 mm 24V 9,6W IP67 bílá neutrální (546626)</v>
      </c>
      <c r="E359" s="29"/>
    </row>
    <row r="360" spans="1:5" x14ac:dyDescent="0.25">
      <c r="A360" s="119" t="s">
        <v>5328</v>
      </c>
      <c r="B360" s="118" t="s">
        <v>201</v>
      </c>
      <c r="C360" s="119" t="s">
        <v>5751</v>
      </c>
      <c r="D360" s="118" t="str">
        <f>VLOOKUP(C360,'1066'!$C$2:$D$1500,2,0)</f>
        <v>V-StrongLumio přijímač/rozvaděč pro bezdrátové samo. vypínače 12/24V (535062)</v>
      </c>
      <c r="E360" s="29"/>
    </row>
    <row r="361" spans="1:5" x14ac:dyDescent="0.25">
      <c r="A361" s="119" t="s">
        <v>4920</v>
      </c>
      <c r="B361" s="118" t="s">
        <v>1516</v>
      </c>
      <c r="C361" s="119" t="s">
        <v>5565</v>
      </c>
      <c r="D361" s="118" t="str">
        <f>VLOOKUP(C361,'1066'!$C$2:$D$1500,2,0)</f>
        <v>V-StrongLumio koncovky k profilu Cabi bílá (pár) (469095)</v>
      </c>
      <c r="E361" s="29"/>
    </row>
    <row r="362" spans="1:5" x14ac:dyDescent="0.25">
      <c r="A362" s="119" t="s">
        <v>5208</v>
      </c>
      <c r="B362" s="118" t="s">
        <v>2510</v>
      </c>
      <c r="C362" s="119" t="s">
        <v>5696</v>
      </c>
      <c r="D362" s="118" t="str">
        <f>VLOOKUP(C362,'1066'!$C$2:$D$1500,2,0)</f>
        <v>V-StrongLumio profil LED Cabi 12 E alu bílý 4050mm (481838)</v>
      </c>
      <c r="E362" s="29"/>
    </row>
    <row r="363" spans="1:5" x14ac:dyDescent="0.25">
      <c r="A363" s="119" t="s">
        <v>5206</v>
      </c>
      <c r="B363" s="118" t="s">
        <v>2502</v>
      </c>
      <c r="C363" s="119" t="s">
        <v>5695</v>
      </c>
      <c r="D363" s="118" t="str">
        <f>VLOOKUP(C363,'1066'!$C$2:$D$1500,2,0)</f>
        <v>V-StrongLumio profil LED Cabi 12 E alu bílá 2000mm (542856)</v>
      </c>
      <c r="E363" s="29"/>
    </row>
    <row r="364" spans="1:5" x14ac:dyDescent="0.25">
      <c r="A364" s="119" t="s">
        <v>5088</v>
      </c>
      <c r="B364" s="118" t="s">
        <v>2118</v>
      </c>
      <c r="C364" s="119" t="s">
        <v>5646</v>
      </c>
      <c r="D364" s="118" t="str">
        <f>VLOOKUP(C364,'1066'!$C$2:$D$1500,2,0)</f>
        <v>V-StrongLumio LED pásek COB 24V 10+10W/m (576 LED/m) - 8mm 2PIN CCT (544705)</v>
      </c>
      <c r="E364" s="29"/>
    </row>
    <row r="365" spans="1:5" x14ac:dyDescent="0.25">
      <c r="A365" s="119" t="s">
        <v>4977</v>
      </c>
      <c r="B365" s="118" t="s">
        <v>1761</v>
      </c>
      <c r="C365" s="119" t="s">
        <v>6201</v>
      </c>
      <c r="D365" s="118" t="str">
        <f>VLOOKUP(C365,'1066'!$C$2:$D$1500,2,0)</f>
        <v>V-StrongLumio krycí lišta k profilu Slim 8/Smart 10 naklap.3000mm mléčná(424699)</v>
      </c>
      <c r="E365" s="29"/>
    </row>
    <row r="366" spans="1:5" x14ac:dyDescent="0.25">
      <c r="A366" s="119" t="s">
        <v>4857</v>
      </c>
      <c r="B366" s="118" t="s">
        <v>1279</v>
      </c>
      <c r="C366" s="119" t="s">
        <v>6203</v>
      </c>
      <c r="D366" s="118" t="str">
        <f>VLOOKUP(C366,'1066'!$C$2:$D$1500,2,0)</f>
        <v>V-StrongLumio bezdrátový samonapájecí dveřní vypínač bílý (535063)</v>
      </c>
      <c r="E366" s="29"/>
    </row>
    <row r="367" spans="1:5" x14ac:dyDescent="0.25">
      <c r="A367" s="119" t="s">
        <v>4858</v>
      </c>
      <c r="B367" s="118" t="s">
        <v>1282</v>
      </c>
      <c r="C367" s="119" t="s">
        <v>6205</v>
      </c>
      <c r="D367" s="118" t="str">
        <f>VLOOKUP(C367,'1066'!$C$2:$D$1500,2,0)</f>
        <v>V-StrongLumio bezdrátový samonapájecí dveřní vypínač černý (535064)</v>
      </c>
      <c r="E367" s="29"/>
    </row>
    <row r="368" spans="1:5" x14ac:dyDescent="0.25">
      <c r="A368" s="119" t="s">
        <v>4872</v>
      </c>
      <c r="B368" s="118" t="s">
        <v>1337</v>
      </c>
      <c r="C368" s="119" t="s">
        <v>6207</v>
      </c>
      <c r="D368" s="118" t="str">
        <f>VLOOKUP(C368,'1066'!$C$2:$D$1500,2,0)</f>
        <v>V-StrongLumio bezdrátový vypínač samonapájecí kulatý bílý (535065)</v>
      </c>
      <c r="E368" s="29"/>
    </row>
    <row r="369" spans="1:5" x14ac:dyDescent="0.25">
      <c r="A369" s="119" t="s">
        <v>4873</v>
      </c>
      <c r="B369" s="118" t="s">
        <v>1340</v>
      </c>
      <c r="C369" s="119" t="s">
        <v>6209</v>
      </c>
      <c r="D369" s="118" t="str">
        <f>VLOOKUP(C369,'1066'!$C$2:$D$1500,2,0)</f>
        <v>V-StrongLumio bezdrátový vypínač samonapájecí kulatý černý (535066)</v>
      </c>
      <c r="E369" s="29"/>
    </row>
    <row r="370" spans="1:5" x14ac:dyDescent="0.25">
      <c r="A370" s="119" t="s">
        <v>5370</v>
      </c>
      <c r="B370" s="118" t="s">
        <v>204</v>
      </c>
      <c r="C370" s="119" t="s">
        <v>6211</v>
      </c>
      <c r="D370" s="118" t="str">
        <f>VLOOKUP(C370,'1066'!$C$2:$D$1500,2,0)</f>
        <v>V-StrongLumio spínací relé pro bezdrátové samonapájecí vypínače 230V (535067)</v>
      </c>
      <c r="E370" s="29"/>
    </row>
    <row r="371" spans="1:5" x14ac:dyDescent="0.25">
      <c r="A371" s="119" t="s">
        <v>5100</v>
      </c>
      <c r="B371" s="118" t="s">
        <v>724</v>
      </c>
      <c r="C371" s="119" t="s">
        <v>6213</v>
      </c>
      <c r="D371" s="118" t="str">
        <f>VLOOKUP(C371,'1066'!$C$2:$D$1500,2,0)</f>
        <v>V-StrongLumio LED pásek COB 24V 5W/m (320 LED/m) 8mm, bílá teplá (544503)</v>
      </c>
      <c r="E371" s="29"/>
    </row>
    <row r="372" spans="1:5" x14ac:dyDescent="0.25">
      <c r="A372" s="119" t="s">
        <v>5098</v>
      </c>
      <c r="B372" s="118" t="s">
        <v>729</v>
      </c>
      <c r="C372" s="119" t="s">
        <v>6215</v>
      </c>
      <c r="D372" s="118" t="str">
        <f>VLOOKUP(C372,'1066'!$C$2:$D$1500,2,0)</f>
        <v>V-StrongLumio LED pásek COB 24V 5W/m (320 LED/m) 8mm, bílá neutrální (544532)</v>
      </c>
      <c r="E372" s="29"/>
    </row>
    <row r="373" spans="1:5" x14ac:dyDescent="0.25">
      <c r="A373" s="119" t="s">
        <v>5099</v>
      </c>
      <c r="B373" s="118" t="s">
        <v>734</v>
      </c>
      <c r="C373" s="119" t="s">
        <v>6217</v>
      </c>
      <c r="D373" s="118" t="str">
        <f>VLOOKUP(C373,'1066'!$C$2:$D$1500,2,0)</f>
        <v>V-StrongLumio LED pásek COB 24V 5W/m (320 LED/m) 8mm, bílá studená (544533)</v>
      </c>
      <c r="E373" s="29"/>
    </row>
    <row r="374" spans="1:5" x14ac:dyDescent="0.25">
      <c r="A374" s="119" t="s">
        <v>5087</v>
      </c>
      <c r="B374" s="118" t="s">
        <v>739</v>
      </c>
      <c r="C374" s="119" t="s">
        <v>6219</v>
      </c>
      <c r="D374" s="118" t="str">
        <f>VLOOKUP(C374,'1066'!$C$2:$D$1500,2,0)</f>
        <v>V-StrongLumio LED pásek COB 12V 5W/m (320 LED/m) 8mm, bílá teplá (544534)</v>
      </c>
      <c r="E374" s="29"/>
    </row>
    <row r="375" spans="1:5" x14ac:dyDescent="0.25">
      <c r="A375" s="119" t="s">
        <v>5085</v>
      </c>
      <c r="B375" s="118" t="s">
        <v>744</v>
      </c>
      <c r="C375" s="119" t="s">
        <v>6221</v>
      </c>
      <c r="D375" s="118" t="str">
        <f>VLOOKUP(C375,'1066'!$C$2:$D$1500,2,0)</f>
        <v>V-StrongLumio LED pásek COB 12V 5W/m (320 LED/m) 8mm, bílá neutrální (544535)</v>
      </c>
      <c r="E375" s="29"/>
    </row>
    <row r="376" spans="1:5" x14ac:dyDescent="0.25">
      <c r="A376" s="119" t="s">
        <v>5086</v>
      </c>
      <c r="B376" s="118" t="s">
        <v>749</v>
      </c>
      <c r="C376" s="119" t="s">
        <v>6223</v>
      </c>
      <c r="D376" s="118" t="str">
        <f>VLOOKUP(C376,'1066'!$C$2:$D$1500,2,0)</f>
        <v>V-StrongLumio LED pásek COB 12V 5W/m (320 LED/m) 8mm, bílá studená (544536)</v>
      </c>
      <c r="E376" s="29"/>
    </row>
    <row r="377" spans="1:5" x14ac:dyDescent="0.25">
      <c r="A377" s="119" t="s">
        <v>5093</v>
      </c>
      <c r="B377" s="118" t="s">
        <v>577</v>
      </c>
      <c r="C377" s="119" t="s">
        <v>6225</v>
      </c>
      <c r="D377" s="118" t="str">
        <f>VLOOKUP(C377,'1066'!$C$2:$D$1500,2,0)</f>
        <v>V-StrongLumio LED pásek COB 24V 12W/m (480 LED/m) 8mm, extra bílá teplá (544583)</v>
      </c>
      <c r="E377" s="29"/>
    </row>
    <row r="378" spans="1:5" x14ac:dyDescent="0.25">
      <c r="A378" s="119" t="s">
        <v>5102</v>
      </c>
      <c r="B378" s="118" t="s">
        <v>604</v>
      </c>
      <c r="C378" s="119" t="s">
        <v>6227</v>
      </c>
      <c r="D378" s="118" t="str">
        <f>VLOOKUP(C378,'1066'!$C$2:$D$1500,2,0)</f>
        <v>V-StrongLumio LED pásek COB 24V 8W/m (320 LED/m) 5mm, bílá studená (544586)</v>
      </c>
      <c r="E378" s="29"/>
    </row>
    <row r="379" spans="1:5" x14ac:dyDescent="0.25">
      <c r="A379" s="119" t="s">
        <v>5110</v>
      </c>
      <c r="B379" s="118" t="s">
        <v>561</v>
      </c>
      <c r="C379" s="119" t="s">
        <v>6229</v>
      </c>
      <c r="D379" s="118" t="str">
        <f>VLOOKUP(C379,'1066'!$C$2:$D$1500,2,0)</f>
        <v>V-StrongLumio LED pásek free cut COB 24V 12W/m(528 LED/m) 8mm,bílá teplá(544587)</v>
      </c>
      <c r="E379" s="29"/>
    </row>
    <row r="380" spans="1:5" x14ac:dyDescent="0.25">
      <c r="A380" s="119" t="s">
        <v>5107</v>
      </c>
      <c r="B380" s="118" t="s">
        <v>540</v>
      </c>
      <c r="C380" s="119" t="s">
        <v>6231</v>
      </c>
      <c r="D380" s="118" t="str">
        <f>VLOOKUP(C380,'1066'!$C$2:$D$1500,2,0)</f>
        <v>V-StrongLumio LED pásek free cut COB 12V 12W/m (528 LED/m)8mm,bílá teplá(544594)</v>
      </c>
      <c r="E380" s="29"/>
    </row>
    <row r="381" spans="1:5" x14ac:dyDescent="0.25">
      <c r="A381" s="119" t="s">
        <v>5109</v>
      </c>
      <c r="B381" s="118" t="s">
        <v>609</v>
      </c>
      <c r="C381" s="119" t="s">
        <v>6233</v>
      </c>
      <c r="D381" s="118" t="str">
        <f>VLOOKUP(C381,'1066'!$C$2:$D$1500,2,0)</f>
        <v>V-StrongLumio LED pásek free cut COB 24V 12W/m(528 LED/m)8mm,bílá studená(544593</v>
      </c>
      <c r="E381" s="29"/>
    </row>
    <row r="382" spans="1:5" x14ac:dyDescent="0.25">
      <c r="A382" s="119" t="s">
        <v>5105</v>
      </c>
      <c r="B382" s="118" t="s">
        <v>530</v>
      </c>
      <c r="C382" s="119" t="s">
        <v>6235</v>
      </c>
      <c r="D382" s="118" t="str">
        <f>VLOOKUP(C382,'1066'!$C$2:$D$1500,2,0)</f>
        <v>V-StrongLumio LED pásek free cut COB 12V 12W/m(528 LED/m)8mm,bílá neutr.(544595)</v>
      </c>
      <c r="E382" s="29"/>
    </row>
    <row r="383" spans="1:5" x14ac:dyDescent="0.25">
      <c r="A383" s="119" t="s">
        <v>5106</v>
      </c>
      <c r="B383" s="118" t="s">
        <v>550</v>
      </c>
      <c r="C383" s="119" t="s">
        <v>6237</v>
      </c>
      <c r="D383" s="118" t="str">
        <f>VLOOKUP(C383,'1066'!$C$2:$D$1500,2,0)</f>
        <v>V-StrongLumio LED pásek free cut COB 12V 12W/m (528 LED/m)8mm,bílá stud.(544596)</v>
      </c>
      <c r="E383" s="29"/>
    </row>
    <row r="384" spans="1:5" x14ac:dyDescent="0.25">
      <c r="A384" s="119" t="s">
        <v>5119</v>
      </c>
      <c r="B384" s="118" t="s">
        <v>754</v>
      </c>
      <c r="C384" s="119" t="s">
        <v>6239</v>
      </c>
      <c r="D384" s="118" t="str">
        <f>VLOOKUP(C384,'1066'!$C$2:$D$1500,2,0)</f>
        <v>V-StrongLumio LED pásek vysoká svítivost 24V 12W/m  8mm, bílá teplá (544598)</v>
      </c>
      <c r="E384" s="29"/>
    </row>
    <row r="385" spans="1:5" x14ac:dyDescent="0.25">
      <c r="A385" s="119" t="s">
        <v>5118</v>
      </c>
      <c r="B385" s="118" t="s">
        <v>758</v>
      </c>
      <c r="C385" s="119" t="s">
        <v>6241</v>
      </c>
      <c r="D385" s="118" t="str">
        <f>VLOOKUP(C385,'1066'!$C$2:$D$1500,2,0)</f>
        <v>V-StrongLumio LED pásek vysoká svítivost 24V 12W/m  8mm, bílá studená (544702)</v>
      </c>
      <c r="E385" s="29"/>
    </row>
    <row r="386" spans="1:5" x14ac:dyDescent="0.25">
      <c r="A386" s="119" t="s">
        <v>5157</v>
      </c>
      <c r="B386" s="118" t="s">
        <v>2279</v>
      </c>
      <c r="C386" s="119" t="s">
        <v>6243</v>
      </c>
      <c r="D386" s="118" t="str">
        <f>VLOOKUP(C386,'1066'!$C$2:$D$1500,2,0)</f>
        <v>V-StrongLumio napájecí zdroj pro LED 12V - 24W do zásuvky (544898)</v>
      </c>
      <c r="E386" s="29"/>
    </row>
    <row r="387" spans="1:5" x14ac:dyDescent="0.25">
      <c r="A387" s="119" t="s">
        <v>5165</v>
      </c>
      <c r="B387" s="118" t="s">
        <v>2311</v>
      </c>
      <c r="C387" s="119" t="s">
        <v>6245</v>
      </c>
      <c r="D387" s="118" t="str">
        <f>VLOOKUP(C387,'1066'!$C$2:$D$1500,2,0)</f>
        <v>V-StrongLumio napájecí zdroj pro LED 24V - 24W do zásuvky (544899)</v>
      </c>
      <c r="E387" s="29"/>
    </row>
    <row r="388" spans="1:5" x14ac:dyDescent="0.25">
      <c r="A388" s="119" t="s">
        <v>5158</v>
      </c>
      <c r="B388" s="118" t="s">
        <v>2283</v>
      </c>
      <c r="C388" s="119" t="s">
        <v>6247</v>
      </c>
      <c r="D388" s="118" t="str">
        <f>VLOOKUP(C388,'1066'!$C$2:$D$1500,2,0)</f>
        <v>V-StrongLumio napájecí zdroj pro LED 12V - 36W do zásuvky (544900)</v>
      </c>
      <c r="E388" s="29"/>
    </row>
    <row r="389" spans="1:5" x14ac:dyDescent="0.25">
      <c r="A389" s="119" t="s">
        <v>5166</v>
      </c>
      <c r="B389" s="118" t="s">
        <v>2315</v>
      </c>
      <c r="C389" s="119" t="s">
        <v>6249</v>
      </c>
      <c r="D389" s="118" t="str">
        <f>VLOOKUP(C389,'1066'!$C$2:$D$1500,2,0)</f>
        <v>V-StrongLumio napájecí zdroj pro LED 24V - 36W do zásuvky (544901)</v>
      </c>
      <c r="E389" s="29"/>
    </row>
    <row r="390" spans="1:5" x14ac:dyDescent="0.25">
      <c r="A390" s="119" t="s">
        <v>5144</v>
      </c>
      <c r="B390" s="118" t="s">
        <v>2227</v>
      </c>
      <c r="C390" s="119" t="s">
        <v>6251</v>
      </c>
      <c r="D390" s="118" t="str">
        <f>VLOOKUP(C390,'1066'!$C$2:$D$1500,2,0)</f>
        <v>V-StrongLumio napájecí zdroj plochý pro LED 12V - 50W (544903)</v>
      </c>
      <c r="E390" s="29"/>
    </row>
    <row r="391" spans="1:5" x14ac:dyDescent="0.25">
      <c r="A391" s="119" t="s">
        <v>5143</v>
      </c>
      <c r="B391" s="118" t="s">
        <v>2223</v>
      </c>
      <c r="C391" s="119" t="s">
        <v>6253</v>
      </c>
      <c r="D391" s="118" t="str">
        <f>VLOOKUP(C391,'1066'!$C$2:$D$1500,2,0)</f>
        <v>V-StrongLumio napájecí zdroj plochý pro LED 12V - 150W (544904)</v>
      </c>
      <c r="E391" s="29"/>
    </row>
    <row r="392" spans="1:5" x14ac:dyDescent="0.25">
      <c r="A392" s="119" t="s">
        <v>5150</v>
      </c>
      <c r="B392" s="118" t="s">
        <v>2251</v>
      </c>
      <c r="C392" s="119" t="s">
        <v>6255</v>
      </c>
      <c r="D392" s="118" t="str">
        <f>VLOOKUP(C392,'1066'!$C$2:$D$1500,2,0)</f>
        <v>V-StrongLumio napájecí zdroj plochý pro LED 24V - 150W (544906)</v>
      </c>
      <c r="E392" s="29"/>
    </row>
    <row r="393" spans="1:5" x14ac:dyDescent="0.25">
      <c r="A393" s="119" t="s">
        <v>5337</v>
      </c>
      <c r="B393" s="118" t="s">
        <v>3108</v>
      </c>
      <c r="C393" s="119" t="s">
        <v>6257</v>
      </c>
      <c r="D393" s="118" t="str">
        <f>VLOOKUP(C393,'1066'!$C$2:$D$1500,2,0)</f>
        <v>V-StrongLumio RF dálkový ovladač/stmívač 12V/24V 1 zóna (546601)</v>
      </c>
      <c r="E393" s="29"/>
    </row>
    <row r="394" spans="1:5" x14ac:dyDescent="0.25">
      <c r="A394" s="119" t="s">
        <v>5132</v>
      </c>
      <c r="B394" s="118" t="s">
        <v>2181</v>
      </c>
      <c r="C394" s="119" t="s">
        <v>6259</v>
      </c>
      <c r="D394" s="118" t="str">
        <f>VLOOKUP(C394,'1066'!$C$2:$D$1500,2,0)</f>
        <v>V-StrongLumio magnetický senzor pro dveřní vypínač (546602)</v>
      </c>
      <c r="E394" s="29"/>
    </row>
    <row r="395" spans="1:5" x14ac:dyDescent="0.25">
      <c r="A395" s="119" t="s">
        <v>4877</v>
      </c>
      <c r="B395" s="118" t="s">
        <v>1355</v>
      </c>
      <c r="C395" s="119" t="s">
        <v>6261</v>
      </c>
      <c r="D395" s="118" t="str">
        <f>VLOOKUP(C395,'1066'!$C$2:$D$1500,2,0)</f>
        <v>V-StrongLumio dálkový ovladač pro digitální LED pásky 12-24V (544562)</v>
      </c>
      <c r="E395" s="29"/>
    </row>
    <row r="396" spans="1:5" x14ac:dyDescent="0.25">
      <c r="A396" s="119" t="s">
        <v>5323</v>
      </c>
      <c r="B396" s="118" t="s">
        <v>3062</v>
      </c>
      <c r="C396" s="119" t="s">
        <v>6263</v>
      </c>
      <c r="D396" s="118" t="str">
        <f>VLOOKUP(C396,'1066'!$C$2:$D$1500,2,0)</f>
        <v>V-StrongLumio přijímač pro bezdrátové nabíjecí senzory Jack/6x Mini (546611)</v>
      </c>
      <c r="E396" s="29"/>
    </row>
    <row r="397" spans="1:5" x14ac:dyDescent="0.25">
      <c r="A397" s="119" t="s">
        <v>4855</v>
      </c>
      <c r="B397" s="118" t="s">
        <v>1273</v>
      </c>
      <c r="C397" s="119" t="s">
        <v>6265</v>
      </c>
      <c r="D397" s="118" t="str">
        <f>VLOOKUP(C397,'1066'!$C$2:$D$1500,2,0)</f>
        <v>V-StrongLumio bezdrátový nabíjecí dotykový vypínač/stmívač (546612)</v>
      </c>
      <c r="E397" s="29"/>
    </row>
    <row r="398" spans="1:5" x14ac:dyDescent="0.25">
      <c r="A398" s="119" t="s">
        <v>4870</v>
      </c>
      <c r="B398" s="118" t="s">
        <v>1329</v>
      </c>
      <c r="C398" s="119" t="s">
        <v>6267</v>
      </c>
      <c r="D398" s="118" t="str">
        <f>VLOOKUP(C398,'1066'!$C$2:$D$1500,2,0)</f>
        <v>V-StrongLumio bezdrátový vypínač samonapájecí 35mm k zafrézování bílý (546642)</v>
      </c>
      <c r="E398" s="29"/>
    </row>
    <row r="399" spans="1:5" x14ac:dyDescent="0.25">
      <c r="A399" s="119" t="s">
        <v>4871</v>
      </c>
      <c r="B399" s="118" t="s">
        <v>1333</v>
      </c>
      <c r="C399" s="119" t="s">
        <v>6269</v>
      </c>
      <c r="D399" s="118" t="str">
        <f>VLOOKUP(C399,'1066'!$C$2:$D$1500,2,0)</f>
        <v>V-StrongLumio bezdrátový vypínač samonapájecí 35mm k zafrézování černý (546647)</v>
      </c>
      <c r="E399" s="29"/>
    </row>
    <row r="400" spans="1:5" x14ac:dyDescent="0.25">
      <c r="A400" s="119" t="s">
        <v>312</v>
      </c>
      <c r="B400" s="118" t="s">
        <v>493</v>
      </c>
      <c r="C400" s="119" t="s">
        <v>6271</v>
      </c>
      <c r="D400" s="118" t="str">
        <f>VLOOKUP(C400,'1066'!$C$2:$D$1500,2,0)</f>
        <v>V-StrongLumio koncovky k profilu Groove 10 rovná černá (pár) (471886)</v>
      </c>
      <c r="E400" s="29"/>
    </row>
    <row r="401" spans="1:5" x14ac:dyDescent="0.25">
      <c r="A401" s="119" t="s">
        <v>293</v>
      </c>
      <c r="B401" s="118" t="s">
        <v>486</v>
      </c>
      <c r="C401" s="119" t="s">
        <v>6273</v>
      </c>
      <c r="D401" s="118" t="str">
        <f>VLOOKUP(C401,'1066'!$C$2:$D$1500,2,0)</f>
        <v>V-StrongLumio koncovky k profilu Groove 10 rovná (pár) bílá (499423)</v>
      </c>
      <c r="E401" s="29"/>
    </row>
    <row r="402" spans="1:5" x14ac:dyDescent="0.25">
      <c r="A402" s="119" t="s">
        <v>5187</v>
      </c>
      <c r="B402" s="118" t="s">
        <v>2397</v>
      </c>
      <c r="C402" s="119" t="s">
        <v>6274</v>
      </c>
      <c r="D402" s="118" t="str">
        <f>VLOOKUP(C402,'1066'!$C$2:$D$1500,2,0)</f>
        <v>V-StrongLumio povrchový vypínač/stmívač 12-24V, 4A konektory Mini, černá(405199)</v>
      </c>
      <c r="E402" s="29"/>
    </row>
    <row r="403" spans="1:5" x14ac:dyDescent="0.25">
      <c r="A403" s="119" t="s">
        <v>5186</v>
      </c>
      <c r="B403" s="118" t="s">
        <v>2393</v>
      </c>
      <c r="C403" s="119" t="s">
        <v>6276</v>
      </c>
      <c r="D403" s="118" t="str">
        <f>VLOOKUP(C403,'1066'!$C$2:$D$1500,2,0)</f>
        <v>V-StrongLumio povrchový vypínač/stmívač 12-24V, 4A konektory Mini, bílá (405200)</v>
      </c>
      <c r="E403" s="29"/>
    </row>
    <row r="404" spans="1:5" x14ac:dyDescent="0.25">
      <c r="A404" s="119" t="s">
        <v>5188</v>
      </c>
      <c r="B404" s="118" t="s">
        <v>2401</v>
      </c>
      <c r="C404" s="119" t="s">
        <v>6278</v>
      </c>
      <c r="D404" s="118" t="str">
        <f>VLOOKUP(C404,'1066'!$C$2:$D$1500,2,0)</f>
        <v>V-StrongLumio povrchový vyp./stmívač 12-24V,4A konektory Mini,stř.(405201)</v>
      </c>
      <c r="E404" s="29"/>
    </row>
    <row r="405" spans="1:5" x14ac:dyDescent="0.25">
      <c r="A405" s="119" t="s">
        <v>4852</v>
      </c>
      <c r="B405" s="118" t="s">
        <v>1261</v>
      </c>
      <c r="C405" s="119" t="s">
        <v>6280</v>
      </c>
      <c r="D405" s="118" t="str">
        <f>VLOOKUP(C405,'1066'!$C$2:$D$1500,2,0)</f>
        <v>V-StrongLumio bezdotykový vypínač/stmívač alu,12/24V 48/96W 4A Mini,bílá(405917)</v>
      </c>
      <c r="E405" s="29"/>
    </row>
    <row r="406" spans="1:5" x14ac:dyDescent="0.25">
      <c r="A406" s="119" t="s">
        <v>4854</v>
      </c>
      <c r="B406" s="118" t="s">
        <v>1269</v>
      </c>
      <c r="C406" s="119" t="s">
        <v>6282</v>
      </c>
      <c r="D406" s="118" t="str">
        <f>VLOOKUP(C406,'1066'!$C$2:$D$1500,2,0)</f>
        <v>V-StrongLumio bezdotykový vyp./stmívač alu,12/24V 4A konektory Mini,stř.(405202)</v>
      </c>
      <c r="E406" s="29"/>
    </row>
    <row r="407" spans="1:5" x14ac:dyDescent="0.25">
      <c r="A407" s="119" t="s">
        <v>4853</v>
      </c>
      <c r="B407" s="118" t="s">
        <v>1265</v>
      </c>
      <c r="C407" s="119" t="s">
        <v>6284</v>
      </c>
      <c r="D407" s="118" t="str">
        <f>VLOOKUP(C407,'1066'!$C$2:$D$1500,2,0)</f>
        <v>V-StrongLumio bezdotykový vyp./stmívač alu,12/24V 48/96W 4A Mini,černá(405918)</v>
      </c>
      <c r="E407" s="29"/>
    </row>
    <row r="408" spans="1:5" x14ac:dyDescent="0.25">
      <c r="A408" s="119" t="s">
        <v>4862</v>
      </c>
      <c r="B408" s="118" t="s">
        <v>1297</v>
      </c>
      <c r="C408" s="119" t="s">
        <v>6286</v>
      </c>
      <c r="D408" s="118" t="str">
        <f>VLOOKUP(C408,'1066'!$C$2:$D$1500,2,0)</f>
        <v>V-StrongLumio bezdrátový vypínač samonapájecí - 1 tlačítko zlatá (467128)</v>
      </c>
      <c r="E408" s="29"/>
    </row>
    <row r="409" spans="1:5" x14ac:dyDescent="0.25">
      <c r="A409" s="119" t="s">
        <v>4864</v>
      </c>
      <c r="B409" s="118" t="s">
        <v>1305</v>
      </c>
      <c r="C409" s="119" t="s">
        <v>6288</v>
      </c>
      <c r="D409" s="118" t="str">
        <f>VLOOKUP(C409,'1066'!$C$2:$D$1500,2,0)</f>
        <v>V-StrongLumio bezdrátový vypínač samonapájecí - 2 tlačítka černá (491231)</v>
      </c>
      <c r="E409" s="29"/>
    </row>
    <row r="410" spans="1:5" x14ac:dyDescent="0.25">
      <c r="A410" s="119" t="s">
        <v>4867</v>
      </c>
      <c r="B410" s="118" t="s">
        <v>1317</v>
      </c>
      <c r="C410" s="119" t="s">
        <v>6290</v>
      </c>
      <c r="D410" s="118" t="str">
        <f>VLOOKUP(C410,'1066'!$C$2:$D$1500,2,0)</f>
        <v>V-StrongLumio bezdrátový vypínač samonapájecí - 3 tlačítka bílá (467127)</v>
      </c>
      <c r="E410" s="29"/>
    </row>
    <row r="411" spans="1:5" x14ac:dyDescent="0.25">
      <c r="A411" s="119" t="s">
        <v>4868</v>
      </c>
      <c r="B411" s="118" t="s">
        <v>1321</v>
      </c>
      <c r="C411" s="119" t="s">
        <v>6292</v>
      </c>
      <c r="D411" s="118" t="str">
        <f>VLOOKUP(C411,'1066'!$C$2:$D$1500,2,0)</f>
        <v>V-StrongLumio bezdrátový vypínač samonapájecí - 3 tlačítka černá (491232)</v>
      </c>
      <c r="E411" s="29"/>
    </row>
    <row r="412" spans="1:5" x14ac:dyDescent="0.25">
      <c r="A412" s="119" t="s">
        <v>4869</v>
      </c>
      <c r="B412" s="118" t="s">
        <v>1325</v>
      </c>
      <c r="C412" s="119" t="s">
        <v>6294</v>
      </c>
      <c r="D412" s="118" t="str">
        <f>VLOOKUP(C412,'1066'!$C$2:$D$1500,2,0)</f>
        <v>V-StrongLumio bezdrátový vypínač samonapájecí - 3 tlačítka stříbrná (467132)</v>
      </c>
      <c r="E412" s="29"/>
    </row>
    <row r="413" spans="1:5" x14ac:dyDescent="0.25">
      <c r="A413" s="119" t="s">
        <v>4909</v>
      </c>
      <c r="B413" s="118" t="s">
        <v>1477</v>
      </c>
      <c r="C413" s="119" t="s">
        <v>6296</v>
      </c>
      <c r="D413" s="118" t="str">
        <f>VLOOKUP(C413,'1066'!$C$2:$D$1500,2,0)</f>
        <v>V-StrongLumio koncovka pro LED pásek neon, s otvorem (405478)</v>
      </c>
      <c r="E413" s="29"/>
    </row>
    <row r="414" spans="1:5" x14ac:dyDescent="0.25">
      <c r="A414" s="119" t="s">
        <v>4956</v>
      </c>
      <c r="B414" s="118" t="s">
        <v>1642</v>
      </c>
      <c r="C414" s="119" t="s">
        <v>6298</v>
      </c>
      <c r="D414" s="118" t="str">
        <f>VLOOKUP(C414,'1066'!$C$2:$D$1500,2,0)</f>
        <v>V-StrongLumio kovový držák pro LED pásek neon 4x10 mm (406056)</v>
      </c>
      <c r="E414" s="29"/>
    </row>
    <row r="415" spans="1:5" x14ac:dyDescent="0.25">
      <c r="A415" s="119" t="s">
        <v>4957</v>
      </c>
      <c r="B415" s="118" t="s">
        <v>1644</v>
      </c>
      <c r="C415" s="119" t="s">
        <v>6300</v>
      </c>
      <c r="D415" s="118" t="str">
        <f>VLOOKUP(C415,'1066'!$C$2:$D$1500,2,0)</f>
        <v>V-StrongLumio kovový držák pro LED silikonový profil neon 8x16 mm (535091)</v>
      </c>
      <c r="E415" s="29"/>
    </row>
    <row r="416" spans="1:5" x14ac:dyDescent="0.25">
      <c r="A416" s="119" t="s">
        <v>5116</v>
      </c>
      <c r="B416" s="118" t="s">
        <v>645</v>
      </c>
      <c r="C416" s="119" t="s">
        <v>6302</v>
      </c>
      <c r="D416" s="118" t="str">
        <f>VLOOKUP(C416,'1066'!$C$2:$D$1500,2,0)</f>
        <v>V-StrongLumio LED pásek neon 6x12 mm 24V 9,6W(168 LED/m)IP67 bílá teplá (546625)</v>
      </c>
      <c r="E416" s="29"/>
    </row>
    <row r="417" spans="1:5" x14ac:dyDescent="0.25">
      <c r="A417" s="119" t="s">
        <v>4912</v>
      </c>
      <c r="B417" s="118" t="s">
        <v>1487</v>
      </c>
      <c r="C417" s="119" t="s">
        <v>6304</v>
      </c>
      <c r="D417" s="118" t="str">
        <f>VLOOKUP(C417,'1066'!$C$2:$D$1500,2,0)</f>
        <v>V-StrongLumio koncovka pro neon 6x12 bez otvoru (546628)</v>
      </c>
      <c r="E417" s="29"/>
    </row>
    <row r="418" spans="1:5" x14ac:dyDescent="0.25">
      <c r="A418" s="119" t="s">
        <v>4958</v>
      </c>
      <c r="B418" s="118" t="s">
        <v>1647</v>
      </c>
      <c r="C418" s="119" t="s">
        <v>6306</v>
      </c>
      <c r="D418" s="118" t="str">
        <f>VLOOKUP(C418,'1066'!$C$2:$D$1500,2,0)</f>
        <v>V-StrongLumio kovový držák pro neon 6x12, 30mm (546637)</v>
      </c>
      <c r="E418" s="29"/>
    </row>
    <row r="419" spans="1:5" x14ac:dyDescent="0.25">
      <c r="A419" s="119" t="s">
        <v>5113</v>
      </c>
      <c r="B419" s="118" t="s">
        <v>633</v>
      </c>
      <c r="C419" s="119" t="s">
        <v>6308</v>
      </c>
      <c r="D419" s="118" t="str">
        <f>VLOOKUP(C419,'1066'!$C$2:$D$1500,2,0)</f>
        <v>V-StrongLumio LED pásek neon 4x10 mm 24V 9,6W(168 LED/m)IP67 bílá teplá (546648)</v>
      </c>
      <c r="E419" s="29"/>
    </row>
    <row r="420" spans="1:5" x14ac:dyDescent="0.25">
      <c r="A420" s="119" t="s">
        <v>5111</v>
      </c>
      <c r="B420" s="118" t="s">
        <v>640</v>
      </c>
      <c r="C420" s="119" t="s">
        <v>6310</v>
      </c>
      <c r="D420" s="118" t="str">
        <f>VLOOKUP(C420,'1066'!$C$2:$D$1500,2,0)</f>
        <v>V-StrongLumio LED pásek neon "T" 4x10 mm 24V 9,6W (168 LED/m) bílá teplá(546649)</v>
      </c>
      <c r="E420" s="29"/>
    </row>
    <row r="421" spans="1:5" x14ac:dyDescent="0.25">
      <c r="A421" s="119" t="s">
        <v>4911</v>
      </c>
      <c r="B421" s="118" t="s">
        <v>1484</v>
      </c>
      <c r="C421" s="119" t="s">
        <v>6312</v>
      </c>
      <c r="D421" s="118" t="str">
        <f>VLOOKUP(C421,'1066'!$C$2:$D$1500,2,0)</f>
        <v>V-StrongLumio koncovka pro neon 4x10 "T", s otvorem (546641)</v>
      </c>
      <c r="E421" s="29"/>
    </row>
    <row r="422" spans="1:5" x14ac:dyDescent="0.25">
      <c r="A422" s="119" t="s">
        <v>4910</v>
      </c>
      <c r="B422" s="118" t="s">
        <v>1481</v>
      </c>
      <c r="C422" s="119" t="s">
        <v>6314</v>
      </c>
      <c r="D422" s="118" t="str">
        <f>VLOOKUP(C422,'1066'!$C$2:$D$1500,2,0)</f>
        <v>V-StrongLumio koncovka pro neon 4x10 "T", bez otvoru (546652)</v>
      </c>
      <c r="E422" s="29"/>
    </row>
    <row r="423" spans="1:5" x14ac:dyDescent="0.25">
      <c r="A423" s="119" t="s">
        <v>245</v>
      </c>
      <c r="B423" s="3"/>
      <c r="C423" s="119" t="s">
        <v>6569</v>
      </c>
      <c r="D423" s="118" t="str">
        <f>VLOOKUP(C423,'1066'!$C$2:$D$1500,2,0)</f>
        <v>V-StrongLumio koncovky k profilu Begton 12 oblá, černá (pár) (405279)</v>
      </c>
      <c r="E423" s="3"/>
    </row>
    <row r="424" spans="1:5" x14ac:dyDescent="0.25">
      <c r="A424" s="4" t="s">
        <v>229</v>
      </c>
      <c r="B424" t="s">
        <v>451</v>
      </c>
      <c r="C424" s="119" t="s">
        <v>6954</v>
      </c>
      <c r="D424" s="118" t="str">
        <f>VLOOKUP(C424,'1066'!$C$2:$D$1500,2,0)</f>
        <v>V-StrongLumio koncovky k profilu Begton 12 oblá, bílá (pár) (405278)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90B5-0F21-49CA-AC77-20C5E7807D5B}">
  <sheetPr codeName="List13"/>
  <dimension ref="A1:N8"/>
  <sheetViews>
    <sheetView workbookViewId="0">
      <selection activeCell="G9" sqref="G9"/>
    </sheetView>
  </sheetViews>
  <sheetFormatPr defaultRowHeight="15" x14ac:dyDescent="0.25"/>
  <cols>
    <col min="3" max="3" width="32.28515625" bestFit="1" customWidth="1"/>
    <col min="5" max="5" width="12" bestFit="1" customWidth="1"/>
    <col min="6" max="7" width="14.42578125" bestFit="1" customWidth="1"/>
    <col min="8" max="8" width="15.140625" bestFit="1" customWidth="1"/>
    <col min="11" max="11" width="12" bestFit="1" customWidth="1"/>
    <col min="12" max="13" width="14.42578125" bestFit="1" customWidth="1"/>
    <col min="14" max="14" width="15.140625" bestFit="1" customWidth="1"/>
    <col min="15" max="15" width="14.42578125" bestFit="1" customWidth="1"/>
    <col min="16" max="16" width="15.140625" bestFit="1" customWidth="1"/>
  </cols>
  <sheetData>
    <row r="1" spans="1:14" x14ac:dyDescent="0.25">
      <c r="D1">
        <f>Úvod!O30</f>
        <v>1</v>
      </c>
    </row>
    <row r="5" spans="1:14" x14ac:dyDescent="0.25">
      <c r="A5" s="77" t="s">
        <v>783</v>
      </c>
      <c r="B5" s="77" t="s">
        <v>786</v>
      </c>
      <c r="D5" s="77" t="s">
        <v>9</v>
      </c>
      <c r="E5" s="77" t="s">
        <v>10</v>
      </c>
      <c r="F5" t="s">
        <v>11</v>
      </c>
      <c r="G5" t="s">
        <v>12</v>
      </c>
      <c r="K5" s="77" t="s">
        <v>787</v>
      </c>
      <c r="L5" s="77" t="s">
        <v>788</v>
      </c>
      <c r="M5" s="77" t="s">
        <v>789</v>
      </c>
      <c r="N5" s="77" t="s">
        <v>790</v>
      </c>
    </row>
    <row r="6" spans="1:14" x14ac:dyDescent="0.25">
      <c r="A6" s="77" t="s">
        <v>5842</v>
      </c>
      <c r="B6" s="77" t="s">
        <v>795</v>
      </c>
      <c r="C6" t="str">
        <f>IF($D$1=1,D:D,IF($D$1=2,E:E,IF($D$1=3,F:F,IF($D$1=4,G:G,IF($D$1=5,H:H)))))</f>
        <v>Poplatek za jedno pájení</v>
      </c>
      <c r="D6" s="77" t="s">
        <v>5843</v>
      </c>
      <c r="E6" s="77" t="s">
        <v>6931</v>
      </c>
      <c r="F6" t="s">
        <v>6933</v>
      </c>
      <c r="G6" t="s">
        <v>6935</v>
      </c>
      <c r="J6">
        <f>IF($D$1=1,K:K,IF($D$1=2,L:L,IF($D$1=3,M:M,IF($D$1=4,N:N,IF($D$1=5,O:O)))))</f>
        <v>25</v>
      </c>
      <c r="K6" s="78">
        <v>25</v>
      </c>
      <c r="L6" s="79">
        <v>0.59</v>
      </c>
      <c r="M6" s="79">
        <v>2.5</v>
      </c>
      <c r="N6" s="79">
        <v>180</v>
      </c>
    </row>
    <row r="7" spans="1:14" x14ac:dyDescent="0.25">
      <c r="A7" s="77" t="s">
        <v>5844</v>
      </c>
      <c r="B7" s="77" t="s">
        <v>795</v>
      </c>
      <c r="C7" t="str">
        <f t="shared" ref="C7:C8" si="0">IF($D$1=1,D:D,IF($D$1=2,E:E,IF($D$1=3,F:F,IF($D$1=4,G:G,IF($D$1=5,H:H)))))</f>
        <v>Poplatek za přípravu sestavy LED pásků</v>
      </c>
      <c r="D7" s="77" t="s">
        <v>5845</v>
      </c>
      <c r="E7" s="77" t="s">
        <v>6932</v>
      </c>
      <c r="F7" t="s">
        <v>6934</v>
      </c>
      <c r="G7" t="s">
        <v>6936</v>
      </c>
      <c r="J7">
        <f t="shared" ref="J7:J8" si="1">IF($D$1=1,K:K,IF($D$1=2,L:L,IF($D$1=3,M:M,IF($D$1=4,N:N,IF($D$1=5,O:O)))))</f>
        <v>199</v>
      </c>
      <c r="K7" s="78">
        <v>199</v>
      </c>
      <c r="L7" s="79">
        <v>4</v>
      </c>
      <c r="M7" s="79">
        <v>17</v>
      </c>
      <c r="N7" s="79">
        <v>1200</v>
      </c>
    </row>
    <row r="8" spans="1:14" x14ac:dyDescent="0.25">
      <c r="A8" s="77" t="s">
        <v>5846</v>
      </c>
      <c r="B8" s="77" t="s">
        <v>795</v>
      </c>
      <c r="C8" t="str">
        <f t="shared" si="0"/>
        <v>Poplatek za jedno řezání</v>
      </c>
      <c r="D8" s="77" t="s">
        <v>5847</v>
      </c>
      <c r="E8" s="77" t="s">
        <v>5848</v>
      </c>
      <c r="F8" t="s">
        <v>6937</v>
      </c>
      <c r="G8" t="s">
        <v>6938</v>
      </c>
      <c r="J8">
        <f t="shared" si="1"/>
        <v>25</v>
      </c>
      <c r="K8" s="78">
        <v>25</v>
      </c>
      <c r="L8" s="79">
        <v>0.59</v>
      </c>
      <c r="M8" s="79">
        <v>2.5</v>
      </c>
      <c r="N8" s="79">
        <v>180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FF71-905F-479A-A26A-675EF68EDF77}">
  <sheetPr codeName="List1"/>
  <dimension ref="A1:W39"/>
  <sheetViews>
    <sheetView showGridLines="0" showRowColHeaders="0" workbookViewId="0">
      <selection activeCell="G10" sqref="G10:P10"/>
    </sheetView>
  </sheetViews>
  <sheetFormatPr defaultColWidth="0" defaultRowHeight="15" customHeight="1" zeroHeight="1" x14ac:dyDescent="0.25"/>
  <cols>
    <col min="1" max="1" width="4" style="7" customWidth="1"/>
    <col min="2" max="2" width="8.85546875" style="7" customWidth="1"/>
    <col min="3" max="3" width="17.140625" style="7" customWidth="1"/>
    <col min="4" max="4" width="6.7109375" style="7" customWidth="1"/>
    <col min="5" max="5" width="8.85546875" style="7" customWidth="1"/>
    <col min="6" max="6" width="2.28515625" style="7" customWidth="1"/>
    <col min="7" max="11" width="8.85546875" style="7" customWidth="1"/>
    <col min="12" max="12" width="12.5703125" style="7" customWidth="1"/>
    <col min="13" max="13" width="18.7109375" style="7" customWidth="1"/>
    <col min="14" max="14" width="15.140625" style="7" customWidth="1"/>
    <col min="15" max="15" width="16.85546875" style="7" customWidth="1"/>
    <col min="16" max="16" width="8.85546875" style="7" customWidth="1"/>
    <col min="17" max="17" width="6.7109375" style="7" customWidth="1"/>
    <col min="18" max="19" width="8.85546875" style="7" customWidth="1"/>
    <col min="20" max="22" width="8.85546875" style="7" hidden="1" customWidth="1"/>
    <col min="23" max="23" width="17.140625" style="7" hidden="1" customWidth="1"/>
    <col min="24" max="16384" width="8.85546875" style="7" hidden="1"/>
  </cols>
  <sheetData>
    <row r="1" spans="1:23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3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  <c r="Q2" s="198" t="str">
        <f>Překlady!C7</f>
        <v>Úvod</v>
      </c>
      <c r="R2" s="199"/>
      <c r="S2" s="199"/>
      <c r="W2" s="133" t="b">
        <v>0</v>
      </c>
    </row>
    <row r="3" spans="1:23" ht="10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98"/>
      <c r="R3" s="199"/>
      <c r="S3" s="199"/>
    </row>
    <row r="4" spans="1:23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23" x14ac:dyDescent="0.25">
      <c r="A5" s="13"/>
      <c r="B5" s="13"/>
      <c r="C5" s="13"/>
      <c r="D5" s="13"/>
      <c r="F5" s="13"/>
      <c r="G5" s="13"/>
    </row>
    <row r="6" spans="1:23" ht="21" x14ac:dyDescent="0.35">
      <c r="C6" s="16"/>
      <c r="F6" s="200" t="str">
        <f>Překlady!C129</f>
        <v>Vždy používejte aktuální verzi formuláře, který je dostupný na našich stánkách.</v>
      </c>
      <c r="G6" s="200"/>
      <c r="H6" s="200"/>
      <c r="I6" s="200"/>
      <c r="J6" s="200"/>
      <c r="K6" s="200"/>
      <c r="L6" s="200"/>
      <c r="M6" s="200"/>
      <c r="N6" s="200"/>
      <c r="O6" s="200"/>
      <c r="S6" s="17"/>
    </row>
    <row r="7" spans="1:23" x14ac:dyDescent="0.25"/>
    <row r="8" spans="1:23" ht="17.25" customHeight="1" x14ac:dyDescent="0.25">
      <c r="C8" s="74" t="str">
        <f>Překlady!C130</f>
        <v xml:space="preserve">Vyplňte prosím vaše kontaktní údaje a poté klikněte na požadované políčko níže. </v>
      </c>
    </row>
    <row r="9" spans="1:23" ht="28.9" customHeight="1" x14ac:dyDescent="0.25"/>
    <row r="10" spans="1:23" ht="17.25" customHeight="1" x14ac:dyDescent="0.25">
      <c r="C10" s="201" t="str">
        <f>Překlady!C124</f>
        <v>Název firmy:</v>
      </c>
      <c r="D10" s="201"/>
      <c r="E10" s="201"/>
      <c r="G10" s="203"/>
      <c r="H10" s="203"/>
      <c r="I10" s="203"/>
      <c r="J10" s="203"/>
      <c r="K10" s="203"/>
      <c r="L10" s="203"/>
      <c r="M10" s="203"/>
      <c r="N10" s="203"/>
      <c r="O10" s="203"/>
      <c r="P10" s="203"/>
    </row>
    <row r="11" spans="1:23" ht="6.75" customHeight="1" x14ac:dyDescent="0.25"/>
    <row r="12" spans="1:23" ht="18.600000000000001" customHeight="1" x14ac:dyDescent="0.25">
      <c r="C12" s="202" t="str">
        <f>Překlady!C126</f>
        <v>IČO:</v>
      </c>
      <c r="D12" s="202"/>
      <c r="E12" s="202"/>
      <c r="F12" s="18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18"/>
      <c r="R12" s="18"/>
      <c r="S12" s="18"/>
    </row>
    <row r="13" spans="1:23" ht="6.75" customHeight="1" x14ac:dyDescent="0.25"/>
    <row r="14" spans="1:23" ht="17.25" customHeight="1" x14ac:dyDescent="0.25">
      <c r="C14" s="201" t="str">
        <f>Překlady!C127</f>
        <v>Kontaktní tel a email:</v>
      </c>
      <c r="D14" s="201"/>
      <c r="E14" s="201"/>
      <c r="G14" s="203"/>
      <c r="H14" s="203"/>
      <c r="I14" s="203"/>
      <c r="J14" s="203"/>
      <c r="K14" s="203"/>
      <c r="L14" s="203"/>
      <c r="M14" s="203"/>
      <c r="N14" s="203"/>
      <c r="O14" s="203"/>
      <c r="P14" s="203"/>
    </row>
    <row r="15" spans="1:23" ht="6.75" customHeight="1" x14ac:dyDescent="0.25"/>
    <row r="16" spans="1:23" ht="17.25" customHeight="1" x14ac:dyDescent="0.25">
      <c r="C16" s="201" t="str">
        <f>Překlady!C125</f>
        <v>Adresa dodání:</v>
      </c>
      <c r="D16" s="201"/>
      <c r="E16" s="201"/>
      <c r="G16" s="203"/>
      <c r="H16" s="203"/>
      <c r="I16" s="203"/>
      <c r="J16" s="203"/>
      <c r="K16" s="203"/>
      <c r="L16" s="203"/>
      <c r="M16" s="203"/>
      <c r="N16" s="203"/>
      <c r="O16" s="203"/>
      <c r="P16" s="203"/>
    </row>
    <row r="17" spans="2:19" ht="6.75" customHeight="1" x14ac:dyDescent="0.25"/>
    <row r="18" spans="2:19" ht="17.25" customHeight="1" x14ac:dyDescent="0.35">
      <c r="D18" s="16"/>
    </row>
    <row r="19" spans="2:19" ht="16.899999999999999" customHeight="1" x14ac:dyDescent="0.25">
      <c r="C19" s="74" t="str">
        <f>Překlady!C141</f>
        <v xml:space="preserve">Při vyplňování formuláře postupujte vždy shora dolů. Provedete li zpětně změnu, překontrolujte zda jsou následující položky správně. </v>
      </c>
    </row>
    <row r="20" spans="2:19" ht="6.6" customHeight="1" x14ac:dyDescent="0.25">
      <c r="L20" s="19"/>
      <c r="M20" s="21"/>
      <c r="N20" s="21"/>
      <c r="O20" s="19"/>
      <c r="P20" s="21"/>
      <c r="Q20" s="21"/>
      <c r="R20" s="21"/>
      <c r="S20" s="21"/>
    </row>
    <row r="21" spans="2:19" ht="16.899999999999999" customHeight="1" x14ac:dyDescent="0.25">
      <c r="C21" s="74" t="str">
        <f>Překlady!C139</f>
        <v>Běžný termín přípravy LED sestavy je 5-10 pracovních dnů.</v>
      </c>
      <c r="M21" s="21"/>
      <c r="N21" s="21"/>
      <c r="P21" s="21"/>
      <c r="Q21" s="21"/>
      <c r="R21" s="21"/>
      <c r="S21" s="21"/>
    </row>
    <row r="22" spans="2:19" ht="6.6" customHeight="1" x14ac:dyDescent="0.25">
      <c r="C22" s="74"/>
    </row>
    <row r="23" spans="2:19" ht="18" customHeight="1" x14ac:dyDescent="0.25">
      <c r="C23" s="74" t="str">
        <f>Překlady!C140</f>
        <v>Uvedené ceny jsou bez DPH!</v>
      </c>
      <c r="L23"/>
      <c r="O23"/>
    </row>
    <row r="24" spans="2:19" ht="6.6" customHeight="1" x14ac:dyDescent="0.25">
      <c r="C24" s="7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9" ht="16.899999999999999" customHeight="1" x14ac:dyDescent="0.25">
      <c r="C25" s="74" t="str">
        <f>Překlady!C142</f>
        <v>Na poplatky za přípravu LED sestavy nelze aplikovat žádné slevy.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2:19" ht="15" customHeight="1" x14ac:dyDescent="0.25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9" ht="15" customHeight="1" x14ac:dyDescent="0.25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9" ht="15" customHeight="1" x14ac:dyDescent="0.25">
      <c r="C28" s="74" t="str">
        <f>Překlady!C138</f>
        <v>V případě potřeby prosím konzultujte sestavu s oddělením technické podpory, tel. +420 724 474 382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2:19" ht="45" customHeight="1" thickBot="1" x14ac:dyDescent="0.3"/>
    <row r="30" spans="2:19" ht="15.75" customHeight="1" x14ac:dyDescent="0.25">
      <c r="B30" s="198" t="str">
        <f>Překlady!C134</f>
        <v>Zpět</v>
      </c>
      <c r="C30" s="199"/>
      <c r="E30" s="205" t="str">
        <f>Překlady!C10</f>
        <v xml:space="preserve">Potvrzuji, že rozumím a přijímám výše uvedené podmínky a doporučení: </v>
      </c>
      <c r="F30" s="205"/>
      <c r="G30" s="205"/>
      <c r="H30" s="205"/>
      <c r="I30" s="205"/>
      <c r="J30" s="205"/>
      <c r="K30" s="205"/>
      <c r="L30" s="205"/>
      <c r="M30" s="205"/>
      <c r="N30" s="205"/>
      <c r="O30" s="206"/>
      <c r="P30" s="207"/>
      <c r="R30" s="198" t="str">
        <f>Překlady!C8</f>
        <v>Dále</v>
      </c>
      <c r="S30" s="199"/>
    </row>
    <row r="31" spans="2:19" ht="15.75" customHeight="1" thickBot="1" x14ac:dyDescent="0.3">
      <c r="B31" s="198"/>
      <c r="C31" s="199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6"/>
      <c r="P31" s="208"/>
      <c r="R31" s="198"/>
      <c r="S31" s="199"/>
    </row>
    <row r="32" spans="2:19" x14ac:dyDescent="0.25">
      <c r="E32" s="22"/>
      <c r="F32" s="22"/>
      <c r="G32" s="22"/>
      <c r="H32" s="22"/>
      <c r="I32" s="22"/>
      <c r="J32" s="22"/>
      <c r="K32" s="22"/>
      <c r="L32" s="22"/>
      <c r="M32" s="22"/>
    </row>
    <row r="33" spans="5:16" hidden="1" x14ac:dyDescent="0.25"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5:16" hidden="1" x14ac:dyDescent="0.25"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5:16" hidden="1" x14ac:dyDescent="0.25"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5:16" hidden="1" x14ac:dyDescent="0.25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8" spans="5:16" hidden="1" x14ac:dyDescent="0.25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5:16" hidden="1" x14ac:dyDescent="0.25"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</sheetData>
  <sheetProtection algorithmName="SHA-512" hashValue="Q2d+yCU700SSM5lht0Tw9fb4uOguGt3bG0YXdgkcO8lragKzdlPuI2YtlG8764qneK18i4alsclxcOy661Nscg==" saltValue="LbelJId7W+8VJ1vsIwPylQ==" spinCount="100000" sheet="1" objects="1" scenarios="1"/>
  <mergeCells count="14">
    <mergeCell ref="R30:S31"/>
    <mergeCell ref="Q2:S3"/>
    <mergeCell ref="F6:O6"/>
    <mergeCell ref="C10:E10"/>
    <mergeCell ref="C12:E12"/>
    <mergeCell ref="C14:E14"/>
    <mergeCell ref="C16:E16"/>
    <mergeCell ref="G10:P10"/>
    <mergeCell ref="G12:P12"/>
    <mergeCell ref="G14:P14"/>
    <mergeCell ref="G16:P16"/>
    <mergeCell ref="B30:C31"/>
    <mergeCell ref="E30:O31"/>
    <mergeCell ref="P30:P31"/>
  </mergeCells>
  <conditionalFormatting sqref="R30:S31">
    <cfRule type="expression" dxfId="270" priority="1">
      <formula>W2=FALSE</formula>
    </cfRule>
  </conditionalFormatting>
  <hyperlinks>
    <hyperlink ref="B30:C31" location="Úvod!A1" display="Úvod!A1" xr:uid="{9A990AE8-6205-4F25-9055-E8247812008D}"/>
    <hyperlink ref="Q2:S3" location="Úvod!A1" display="Úvod!A1" xr:uid="{C01E57BE-D517-4A0B-9615-441C4C5F765C}"/>
    <hyperlink ref="R30:S31" location="Sestava1!A1" display="Dále" xr:uid="{2B729A4D-350D-4B84-AA8D-64CBEE5D414F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locked="0" defaultSize="0" autoFill="0" autoLine="0" autoPict="0">
                <anchor moveWithCells="1">
                  <from>
                    <xdr:col>15</xdr:col>
                    <xdr:colOff>200025</xdr:colOff>
                    <xdr:row>29</xdr:row>
                    <xdr:rowOff>57150</xdr:rowOff>
                  </from>
                  <to>
                    <xdr:col>15</xdr:col>
                    <xdr:colOff>523875</xdr:colOff>
                    <xdr:row>30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ED29-EA22-49AE-B1A1-DFE35F0FA3DA}">
  <sheetPr codeName="List3"/>
  <dimension ref="B2:G19"/>
  <sheetViews>
    <sheetView workbookViewId="0"/>
  </sheetViews>
  <sheetFormatPr defaultRowHeight="15" x14ac:dyDescent="0.25"/>
  <sheetData>
    <row r="2" spans="2:7" x14ac:dyDescent="0.25">
      <c r="B2" t="s">
        <v>5</v>
      </c>
    </row>
    <row r="3" spans="2:7" x14ac:dyDescent="0.25">
      <c r="B3" s="209" t="s">
        <v>6</v>
      </c>
      <c r="C3" s="209"/>
      <c r="D3" s="209"/>
      <c r="E3" s="209"/>
      <c r="F3" s="209"/>
      <c r="G3" s="209"/>
    </row>
    <row r="4" spans="2:7" x14ac:dyDescent="0.25">
      <c r="B4" s="209"/>
      <c r="C4" s="209"/>
      <c r="D4" s="209"/>
      <c r="E4" s="209"/>
      <c r="F4" s="209"/>
      <c r="G4" s="209"/>
    </row>
    <row r="5" spans="2:7" x14ac:dyDescent="0.25">
      <c r="B5" s="209"/>
      <c r="C5" s="209"/>
      <c r="D5" s="209"/>
      <c r="E5" s="209"/>
      <c r="F5" s="209"/>
      <c r="G5" s="209"/>
    </row>
    <row r="6" spans="2:7" x14ac:dyDescent="0.25">
      <c r="B6" s="209"/>
      <c r="C6" s="209"/>
      <c r="D6" s="209"/>
      <c r="E6" s="209"/>
      <c r="F6" s="209"/>
      <c r="G6" s="209"/>
    </row>
    <row r="7" spans="2:7" x14ac:dyDescent="0.25">
      <c r="B7" s="209"/>
      <c r="C7" s="209"/>
      <c r="D7" s="209"/>
      <c r="E7" s="209"/>
      <c r="F7" s="209"/>
      <c r="G7" s="209"/>
    </row>
    <row r="8" spans="2:7" x14ac:dyDescent="0.25">
      <c r="B8" s="209"/>
      <c r="C8" s="209"/>
      <c r="D8" s="209"/>
      <c r="E8" s="209"/>
      <c r="F8" s="209"/>
      <c r="G8" s="209"/>
    </row>
    <row r="9" spans="2:7" x14ac:dyDescent="0.25">
      <c r="B9" s="209"/>
      <c r="C9" s="209"/>
      <c r="D9" s="209"/>
      <c r="E9" s="209"/>
      <c r="F9" s="209"/>
      <c r="G9" s="209"/>
    </row>
    <row r="10" spans="2:7" x14ac:dyDescent="0.25">
      <c r="B10" s="209"/>
      <c r="C10" s="209"/>
      <c r="D10" s="209"/>
      <c r="E10" s="209"/>
      <c r="F10" s="209"/>
      <c r="G10" s="209"/>
    </row>
    <row r="11" spans="2:7" x14ac:dyDescent="0.25">
      <c r="B11" s="209"/>
      <c r="C11" s="209"/>
      <c r="D11" s="209"/>
      <c r="E11" s="209"/>
      <c r="F11" s="209"/>
      <c r="G11" s="209"/>
    </row>
    <row r="12" spans="2:7" x14ac:dyDescent="0.25">
      <c r="B12" s="209"/>
      <c r="C12" s="209"/>
      <c r="D12" s="209"/>
      <c r="E12" s="209"/>
      <c r="F12" s="209"/>
      <c r="G12" s="209"/>
    </row>
    <row r="13" spans="2:7" x14ac:dyDescent="0.25">
      <c r="B13" s="209"/>
      <c r="C13" s="209"/>
      <c r="D13" s="209"/>
      <c r="E13" s="209"/>
      <c r="F13" s="209"/>
      <c r="G13" s="209"/>
    </row>
    <row r="14" spans="2:7" x14ac:dyDescent="0.25">
      <c r="B14" s="209"/>
      <c r="C14" s="209"/>
      <c r="D14" s="209"/>
      <c r="E14" s="209"/>
      <c r="F14" s="209"/>
      <c r="G14" s="209"/>
    </row>
    <row r="15" spans="2:7" x14ac:dyDescent="0.25">
      <c r="B15" s="209"/>
      <c r="C15" s="209"/>
      <c r="D15" s="209"/>
      <c r="E15" s="209"/>
      <c r="F15" s="209"/>
      <c r="G15" s="209"/>
    </row>
    <row r="16" spans="2:7" x14ac:dyDescent="0.25">
      <c r="B16" s="209"/>
      <c r="C16" s="209"/>
      <c r="D16" s="209"/>
      <c r="E16" s="209"/>
      <c r="F16" s="209"/>
      <c r="G16" s="209"/>
    </row>
    <row r="17" spans="2:7" x14ac:dyDescent="0.25">
      <c r="B17" s="209"/>
      <c r="C17" s="209"/>
      <c r="D17" s="209"/>
      <c r="E17" s="209"/>
      <c r="F17" s="209"/>
      <c r="G17" s="209"/>
    </row>
    <row r="18" spans="2:7" x14ac:dyDescent="0.25">
      <c r="B18" s="209"/>
      <c r="C18" s="209"/>
      <c r="D18" s="209"/>
      <c r="E18" s="209"/>
      <c r="F18" s="209"/>
      <c r="G18" s="209"/>
    </row>
    <row r="19" spans="2:7" x14ac:dyDescent="0.25">
      <c r="B19" s="209"/>
      <c r="C19" s="209"/>
      <c r="D19" s="209"/>
      <c r="E19" s="209"/>
      <c r="F19" s="209"/>
      <c r="G19" s="209"/>
    </row>
  </sheetData>
  <mergeCells count="1">
    <mergeCell ref="B3:G1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D333-3820-4441-BD8F-E3BDA4D9F2B0}">
  <sheetPr codeName="List4"/>
  <dimension ref="B1:S144"/>
  <sheetViews>
    <sheetView workbookViewId="0">
      <selection activeCell="F9" sqref="F9"/>
    </sheetView>
  </sheetViews>
  <sheetFormatPr defaultRowHeight="15" x14ac:dyDescent="0.25"/>
  <cols>
    <col min="2" max="2" width="15.28515625" customWidth="1"/>
    <col min="3" max="3" width="35.140625" customWidth="1"/>
    <col min="4" max="4" width="31.28515625" bestFit="1" customWidth="1"/>
    <col min="5" max="5" width="18" customWidth="1"/>
    <col min="6" max="6" width="26.7109375" customWidth="1"/>
    <col min="7" max="7" width="30.85546875" customWidth="1"/>
    <col min="9" max="9" width="20.28515625" customWidth="1"/>
    <col min="16" max="16" width="9.42578125" bestFit="1" customWidth="1"/>
    <col min="17" max="17" width="17.85546875" bestFit="1" customWidth="1"/>
    <col min="18" max="18" width="31.140625" customWidth="1"/>
  </cols>
  <sheetData>
    <row r="1" spans="2:19" x14ac:dyDescent="0.25">
      <c r="B1" t="s">
        <v>7</v>
      </c>
      <c r="C1" s="4" t="s">
        <v>8</v>
      </c>
      <c r="D1">
        <f>Úvod!O30</f>
        <v>1</v>
      </c>
    </row>
    <row r="2" spans="2:19" x14ac:dyDescent="0.25"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2:19" x14ac:dyDescent="0.25">
      <c r="C3" t="str">
        <f>IF($D$1=1,D:D,IF($D$1=2,E:E,IF($D$1=3,F:F,IF($D$1=4,G:G,IF($D$1=5,H:H)))))</f>
        <v>česky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5" spans="2:19" x14ac:dyDescent="0.25">
      <c r="F5" s="5"/>
    </row>
    <row r="6" spans="2:19" x14ac:dyDescent="0.25">
      <c r="N6" t="s">
        <v>20</v>
      </c>
    </row>
    <row r="7" spans="2:19" x14ac:dyDescent="0.25">
      <c r="C7" t="str">
        <f t="shared" ref="C7:C44" si="0">IF($D$1=1,D:D,IF($D$1=2,E:E,IF($D$1=3,F:F,IF($D$1=4,G:G,IF($D$1=5,H:H)))))</f>
        <v>Úvod</v>
      </c>
      <c r="D7" s="3" t="s">
        <v>1</v>
      </c>
      <c r="E7" s="3" t="s">
        <v>1</v>
      </c>
      <c r="F7" s="3" t="s">
        <v>21</v>
      </c>
      <c r="G7" s="3" t="s">
        <v>22</v>
      </c>
      <c r="H7" s="3" t="s">
        <v>23</v>
      </c>
      <c r="P7" t="s">
        <v>24</v>
      </c>
      <c r="Q7" t="s">
        <v>25</v>
      </c>
    </row>
    <row r="8" spans="2:19" x14ac:dyDescent="0.25">
      <c r="C8" t="str">
        <f t="shared" si="0"/>
        <v>Dále</v>
      </c>
      <c r="D8" t="s">
        <v>4</v>
      </c>
      <c r="E8" t="s">
        <v>26</v>
      </c>
      <c r="F8" t="s">
        <v>27</v>
      </c>
      <c r="G8" t="s">
        <v>28</v>
      </c>
      <c r="H8" t="s">
        <v>29</v>
      </c>
      <c r="O8" t="s">
        <v>30</v>
      </c>
      <c r="P8" t="s">
        <v>31</v>
      </c>
      <c r="R8" t="str">
        <f>CONCATENATE(C13,"_",C16,"_")</f>
        <v>rovný_ne_</v>
      </c>
      <c r="S8">
        <v>2</v>
      </c>
    </row>
    <row r="9" spans="2:19" x14ac:dyDescent="0.25">
      <c r="C9" t="str">
        <f t="shared" si="0"/>
        <v>Výroba LED sestav na míru</v>
      </c>
      <c r="D9" t="s">
        <v>32</v>
      </c>
      <c r="E9" t="s">
        <v>6953</v>
      </c>
      <c r="F9" t="s">
        <v>6810</v>
      </c>
      <c r="G9" t="s">
        <v>6675</v>
      </c>
      <c r="O9" t="s">
        <v>33</v>
      </c>
      <c r="P9" t="s">
        <v>34</v>
      </c>
      <c r="Q9" t="s">
        <v>35</v>
      </c>
      <c r="R9" t="str">
        <f>CONCATENATE(C14,"_",C15,"_",C35)</f>
        <v>rohový_ano_vpravo</v>
      </c>
      <c r="S9">
        <v>2</v>
      </c>
    </row>
    <row r="10" spans="2:19" x14ac:dyDescent="0.25">
      <c r="C10" t="str">
        <f t="shared" si="0"/>
        <v xml:space="preserve">Potvrzuji, že rozumím a přijímám výše uvedené podmínky a doporučení: </v>
      </c>
      <c r="D10" s="7" t="s">
        <v>36</v>
      </c>
      <c r="E10" t="s">
        <v>37</v>
      </c>
      <c r="F10" t="s">
        <v>38</v>
      </c>
      <c r="G10" t="s">
        <v>39</v>
      </c>
      <c r="O10" t="s">
        <v>30</v>
      </c>
      <c r="P10" t="s">
        <v>34</v>
      </c>
      <c r="R10" t="str">
        <f>CONCATENATE(C13,"_",C15,"_")</f>
        <v>rovný_ano_</v>
      </c>
      <c r="S10">
        <v>1</v>
      </c>
    </row>
    <row r="11" spans="2:19" x14ac:dyDescent="0.25">
      <c r="C11" t="str">
        <f t="shared" si="0"/>
        <v>Sestava</v>
      </c>
      <c r="D11" t="s">
        <v>40</v>
      </c>
      <c r="E11" t="s">
        <v>6576</v>
      </c>
      <c r="F11" t="s">
        <v>6811</v>
      </c>
      <c r="G11" t="s">
        <v>6680</v>
      </c>
      <c r="O11" t="s">
        <v>33</v>
      </c>
      <c r="P11" t="s">
        <v>34</v>
      </c>
      <c r="Q11" t="s">
        <v>41</v>
      </c>
      <c r="R11" t="str">
        <f>CONCATENATE(C14,"_",C15,"_",C34)</f>
        <v>rohový_ano_vlevo</v>
      </c>
      <c r="S11">
        <v>1</v>
      </c>
    </row>
    <row r="12" spans="2:19" x14ac:dyDescent="0.25">
      <c r="C12" t="str">
        <f t="shared" si="0"/>
        <v>Tvar sestavy:</v>
      </c>
      <c r="D12" t="s">
        <v>42</v>
      </c>
      <c r="E12" t="s">
        <v>6577</v>
      </c>
      <c r="F12" t="s">
        <v>6812</v>
      </c>
      <c r="G12" t="s">
        <v>6681</v>
      </c>
    </row>
    <row r="13" spans="2:19" x14ac:dyDescent="0.25">
      <c r="C13" t="str">
        <f t="shared" si="0"/>
        <v>rovný</v>
      </c>
      <c r="D13" t="s">
        <v>30</v>
      </c>
      <c r="E13" t="s">
        <v>30</v>
      </c>
      <c r="F13" t="s">
        <v>6813</v>
      </c>
      <c r="G13" t="s">
        <v>6682</v>
      </c>
    </row>
    <row r="14" spans="2:19" x14ac:dyDescent="0.25">
      <c r="C14" t="str">
        <f t="shared" ref="C14:C31" si="1">IF($D$1=1,D:D,IF($D$1=2,E:E,IF($D$1=3,F:F,IF($D$1=4,G:G,IF($D$1=5,H:H)))))</f>
        <v>rohový</v>
      </c>
      <c r="D14" t="s">
        <v>43</v>
      </c>
      <c r="E14" t="s">
        <v>43</v>
      </c>
      <c r="F14" t="s">
        <v>6814</v>
      </c>
      <c r="G14" t="s">
        <v>6683</v>
      </c>
    </row>
    <row r="15" spans="2:19" x14ac:dyDescent="0.25">
      <c r="C15" t="str">
        <f t="shared" si="1"/>
        <v>ano</v>
      </c>
      <c r="D15" t="s">
        <v>34</v>
      </c>
      <c r="E15" t="s">
        <v>6578</v>
      </c>
      <c r="F15" t="s">
        <v>6815</v>
      </c>
      <c r="G15" t="s">
        <v>6684</v>
      </c>
    </row>
    <row r="16" spans="2:19" x14ac:dyDescent="0.25">
      <c r="C16" t="str">
        <f t="shared" si="1"/>
        <v>ne</v>
      </c>
      <c r="D16" t="s">
        <v>31</v>
      </c>
      <c r="E16" t="s">
        <v>6579</v>
      </c>
      <c r="F16" t="s">
        <v>6579</v>
      </c>
      <c r="G16" t="s">
        <v>6685</v>
      </c>
    </row>
    <row r="17" spans="3:7" x14ac:dyDescent="0.25">
      <c r="C17" t="str">
        <f t="shared" si="1"/>
        <v>Bude přerušený led pásek?</v>
      </c>
      <c r="D17" t="s">
        <v>44</v>
      </c>
      <c r="E17" t="s">
        <v>6580</v>
      </c>
      <c r="F17" t="s">
        <v>6816</v>
      </c>
      <c r="G17" t="s">
        <v>6686</v>
      </c>
    </row>
    <row r="18" spans="3:7" x14ac:dyDescent="0.25">
      <c r="C18" t="str">
        <f t="shared" si="1"/>
        <v>Rovný bez přerušení - napájení vlevo</v>
      </c>
      <c r="D18" s="26" t="s">
        <v>45</v>
      </c>
      <c r="E18" t="s">
        <v>6581</v>
      </c>
      <c r="F18" t="s">
        <v>6817</v>
      </c>
      <c r="G18" t="s">
        <v>6687</v>
      </c>
    </row>
    <row r="19" spans="3:7" x14ac:dyDescent="0.25">
      <c r="C19" t="str">
        <f t="shared" si="1"/>
        <v>Rovný bez přerušení - napájení vpravo</v>
      </c>
      <c r="D19" s="26" t="s">
        <v>46</v>
      </c>
      <c r="E19" t="s">
        <v>6582</v>
      </c>
      <c r="F19" t="s">
        <v>6818</v>
      </c>
      <c r="G19" t="s">
        <v>6688</v>
      </c>
    </row>
    <row r="20" spans="3:7" x14ac:dyDescent="0.25">
      <c r="C20" t="str">
        <f t="shared" si="1"/>
        <v>Rovný s přerušením - napájení vlevo</v>
      </c>
      <c r="D20" s="26" t="s">
        <v>47</v>
      </c>
      <c r="E20" t="s">
        <v>6583</v>
      </c>
      <c r="F20" t="s">
        <v>6819</v>
      </c>
      <c r="G20" t="s">
        <v>6689</v>
      </c>
    </row>
    <row r="21" spans="3:7" x14ac:dyDescent="0.25">
      <c r="C21" t="str">
        <f t="shared" si="1"/>
        <v>Rovný s přerušením - napájení vpravo</v>
      </c>
      <c r="D21" s="26" t="s">
        <v>48</v>
      </c>
      <c r="E21" t="s">
        <v>6584</v>
      </c>
      <c r="F21" t="s">
        <v>6820</v>
      </c>
      <c r="G21" t="s">
        <v>6690</v>
      </c>
    </row>
    <row r="22" spans="3:7" x14ac:dyDescent="0.25">
      <c r="C22" t="str">
        <f t="shared" si="1"/>
        <v>Rovný s přerušením - napájení v přerušení</v>
      </c>
      <c r="D22" s="26" t="s">
        <v>49</v>
      </c>
      <c r="E22" t="s">
        <v>6585</v>
      </c>
      <c r="F22" t="s">
        <v>6821</v>
      </c>
      <c r="G22" t="s">
        <v>6691</v>
      </c>
    </row>
    <row r="23" spans="3:7" x14ac:dyDescent="0.25">
      <c r="C23" t="str">
        <f t="shared" si="1"/>
        <v>Rohový bez přerušení - napájení vlevo</v>
      </c>
      <c r="D23" s="26" t="s">
        <v>50</v>
      </c>
      <c r="E23" t="s">
        <v>6586</v>
      </c>
      <c r="F23" t="s">
        <v>6822</v>
      </c>
      <c r="G23" t="s">
        <v>6692</v>
      </c>
    </row>
    <row r="24" spans="3:7" x14ac:dyDescent="0.25">
      <c r="C24" t="str">
        <f t="shared" si="1"/>
        <v>Rohový bez přerušení - napájení vpravo</v>
      </c>
      <c r="D24" s="26" t="s">
        <v>51</v>
      </c>
      <c r="E24" t="s">
        <v>6587</v>
      </c>
      <c r="F24" t="s">
        <v>6823</v>
      </c>
      <c r="G24" t="s">
        <v>6693</v>
      </c>
    </row>
    <row r="25" spans="3:7" x14ac:dyDescent="0.25">
      <c r="C25" t="str">
        <f t="shared" si="1"/>
        <v>Rohový bez přerušení - napájení v rohu</v>
      </c>
      <c r="D25" s="26" t="s">
        <v>52</v>
      </c>
      <c r="E25" t="s">
        <v>6588</v>
      </c>
      <c r="F25" t="s">
        <v>6824</v>
      </c>
      <c r="G25" t="s">
        <v>6694</v>
      </c>
    </row>
    <row r="26" spans="3:7" x14ac:dyDescent="0.25">
      <c r="C26" t="str">
        <f t="shared" si="1"/>
        <v>Rohový s přerušením - napájení vlevo</v>
      </c>
      <c r="D26" s="26" t="s">
        <v>53</v>
      </c>
      <c r="E26" t="s">
        <v>6589</v>
      </c>
      <c r="F26" t="s">
        <v>6825</v>
      </c>
      <c r="G26" t="s">
        <v>6695</v>
      </c>
    </row>
    <row r="27" spans="3:7" x14ac:dyDescent="0.25">
      <c r="C27" t="str">
        <f t="shared" si="1"/>
        <v>Rohový s přerušením - napájení vpravo</v>
      </c>
      <c r="D27" s="26" t="s">
        <v>54</v>
      </c>
      <c r="E27" t="s">
        <v>6590</v>
      </c>
      <c r="F27" t="s">
        <v>6826</v>
      </c>
      <c r="G27" t="s">
        <v>6696</v>
      </c>
    </row>
    <row r="28" spans="3:7" x14ac:dyDescent="0.25">
      <c r="C28" t="str">
        <f t="shared" si="1"/>
        <v>Rohový s přerušením - napájení v rohu</v>
      </c>
      <c r="D28" s="26" t="s">
        <v>55</v>
      </c>
      <c r="E28" t="s">
        <v>6591</v>
      </c>
      <c r="F28" t="s">
        <v>6827</v>
      </c>
      <c r="G28" t="s">
        <v>6697</v>
      </c>
    </row>
    <row r="29" spans="3:7" x14ac:dyDescent="0.25">
      <c r="C29" t="str">
        <f t="shared" si="1"/>
        <v>Rohový s přerušením - napájení v přerušení</v>
      </c>
      <c r="D29" s="26" t="s">
        <v>56</v>
      </c>
      <c r="E29" t="s">
        <v>6592</v>
      </c>
      <c r="F29" t="s">
        <v>6828</v>
      </c>
      <c r="G29" t="s">
        <v>6698</v>
      </c>
    </row>
    <row r="30" spans="3:7" x14ac:dyDescent="0.25">
      <c r="C30" t="str">
        <f t="shared" si="1"/>
        <v>Přerušení vlevo</v>
      </c>
      <c r="D30" s="26" t="s">
        <v>57</v>
      </c>
      <c r="E30" t="s">
        <v>6593</v>
      </c>
      <c r="F30" t="s">
        <v>6829</v>
      </c>
      <c r="G30" t="s">
        <v>6699</v>
      </c>
    </row>
    <row r="31" spans="3:7" x14ac:dyDescent="0.25">
      <c r="C31" t="str">
        <f t="shared" si="1"/>
        <v>Přerušení vpravo</v>
      </c>
      <c r="D31" s="26" t="s">
        <v>58</v>
      </c>
      <c r="E31" t="s">
        <v>6594</v>
      </c>
      <c r="F31" t="s">
        <v>6830</v>
      </c>
      <c r="G31" t="s">
        <v>6700</v>
      </c>
    </row>
    <row r="32" spans="3:7" x14ac:dyDescent="0.25">
      <c r="C32" t="str">
        <f t="shared" si="0"/>
        <v>Kde?</v>
      </c>
      <c r="D32" t="s">
        <v>59</v>
      </c>
      <c r="E32" t="s">
        <v>59</v>
      </c>
      <c r="F32" t="s">
        <v>6831</v>
      </c>
      <c r="G32" t="s">
        <v>6701</v>
      </c>
    </row>
    <row r="33" spans="3:10" x14ac:dyDescent="0.25">
      <c r="C33" t="str">
        <f t="shared" si="0"/>
        <v>Umístění napájení:</v>
      </c>
      <c r="D33" t="s">
        <v>60</v>
      </c>
      <c r="E33" t="s">
        <v>6595</v>
      </c>
      <c r="F33" t="s">
        <v>6832</v>
      </c>
      <c r="G33" t="s">
        <v>6702</v>
      </c>
    </row>
    <row r="34" spans="3:10" x14ac:dyDescent="0.25">
      <c r="C34" t="str">
        <f t="shared" si="0"/>
        <v>vlevo</v>
      </c>
      <c r="D34" t="s">
        <v>41</v>
      </c>
      <c r="E34" t="s">
        <v>6596</v>
      </c>
      <c r="F34" t="s">
        <v>6834</v>
      </c>
      <c r="G34" t="s">
        <v>6703</v>
      </c>
    </row>
    <row r="35" spans="3:10" x14ac:dyDescent="0.25">
      <c r="C35" t="str">
        <f t="shared" si="0"/>
        <v>vpravo</v>
      </c>
      <c r="D35" t="s">
        <v>35</v>
      </c>
      <c r="E35" t="s">
        <v>35</v>
      </c>
      <c r="F35" t="s">
        <v>6833</v>
      </c>
      <c r="G35" t="s">
        <v>6704</v>
      </c>
    </row>
    <row r="36" spans="3:10" x14ac:dyDescent="0.25">
      <c r="C36" t="str">
        <f t="shared" si="0"/>
        <v>v přerušení</v>
      </c>
      <c r="D36" t="s">
        <v>61</v>
      </c>
      <c r="E36" t="s">
        <v>6597</v>
      </c>
      <c r="F36" t="s">
        <v>6835</v>
      </c>
      <c r="G36" t="s">
        <v>6705</v>
      </c>
    </row>
    <row r="37" spans="3:10" x14ac:dyDescent="0.25">
      <c r="C37" t="str">
        <f t="shared" si="0"/>
        <v>Umístění přerušení:</v>
      </c>
      <c r="D37" t="s">
        <v>62</v>
      </c>
      <c r="E37" t="s">
        <v>6598</v>
      </c>
      <c r="F37" t="s">
        <v>6836</v>
      </c>
      <c r="G37" t="s">
        <v>6706</v>
      </c>
    </row>
    <row r="38" spans="3:10" x14ac:dyDescent="0.25">
      <c r="C38" t="str">
        <f t="shared" si="0"/>
        <v>v rohu</v>
      </c>
      <c r="D38" t="s">
        <v>63</v>
      </c>
      <c r="E38" t="s">
        <v>63</v>
      </c>
      <c r="F38" t="s">
        <v>6837</v>
      </c>
      <c r="G38" t="s">
        <v>6707</v>
      </c>
    </row>
    <row r="39" spans="3:10" x14ac:dyDescent="0.25">
      <c r="C39" t="str">
        <f t="shared" si="0"/>
        <v>Definuj délky:</v>
      </c>
      <c r="D39" s="6" t="s">
        <v>64</v>
      </c>
      <c r="E39" t="s">
        <v>6599</v>
      </c>
      <c r="F39" t="s">
        <v>6838</v>
      </c>
      <c r="G39" t="s">
        <v>6708</v>
      </c>
    </row>
    <row r="40" spans="3:10" x14ac:dyDescent="0.25">
      <c r="C40">
        <f t="shared" si="0"/>
        <v>0</v>
      </c>
      <c r="D40" s="6"/>
      <c r="E40" t="e">
        <v>#N/A</v>
      </c>
      <c r="F40" t="e">
        <v>#N/A</v>
      </c>
      <c r="G40" t="e">
        <v>#N/A</v>
      </c>
    </row>
    <row r="41" spans="3:10" x14ac:dyDescent="0.25">
      <c r="C41" t="str">
        <f t="shared" si="0"/>
        <v>Profil:</v>
      </c>
      <c r="D41" s="6" t="s">
        <v>65</v>
      </c>
      <c r="E41" t="s">
        <v>65</v>
      </c>
      <c r="F41" t="s">
        <v>65</v>
      </c>
      <c r="G41" t="s">
        <v>65</v>
      </c>
    </row>
    <row r="42" spans="3:10" x14ac:dyDescent="0.25">
      <c r="C42" t="str">
        <f t="shared" si="0"/>
        <v>povrchová</v>
      </c>
      <c r="D42" t="s">
        <v>66</v>
      </c>
      <c r="E42" t="s">
        <v>66</v>
      </c>
      <c r="F42" t="s">
        <v>6839</v>
      </c>
      <c r="G42" t="s">
        <v>6709</v>
      </c>
      <c r="J42" t="s">
        <v>66</v>
      </c>
    </row>
    <row r="43" spans="3:10" x14ac:dyDescent="0.25">
      <c r="C43" t="str">
        <f t="shared" si="0"/>
        <v>k zafrézování</v>
      </c>
      <c r="D43" s="6" t="s">
        <v>67</v>
      </c>
      <c r="E43" t="s">
        <v>6600</v>
      </c>
      <c r="F43" t="s">
        <v>6840</v>
      </c>
      <c r="G43" t="s">
        <v>6710</v>
      </c>
      <c r="J43" s="6" t="s">
        <v>68</v>
      </c>
    </row>
    <row r="44" spans="3:10" x14ac:dyDescent="0.25">
      <c r="C44" t="str">
        <f t="shared" si="0"/>
        <v>rohová</v>
      </c>
      <c r="D44" s="6" t="s">
        <v>69</v>
      </c>
      <c r="E44" t="s">
        <v>69</v>
      </c>
      <c r="F44" t="s">
        <v>6841</v>
      </c>
      <c r="G44" t="s">
        <v>6683</v>
      </c>
      <c r="J44" s="6" t="s">
        <v>33</v>
      </c>
    </row>
    <row r="45" spans="3:10" x14ac:dyDescent="0.25">
      <c r="C45" t="str">
        <f t="shared" ref="C45:C66" si="2">IF($D$1=1,D:D,IF($D$1=2,E:E,IF($D$1=3,F:F,IF($D$1=4,G:G,IF($D$1=5,H:H)))))</f>
        <v>bez profilu</v>
      </c>
      <c r="D45" t="s">
        <v>70</v>
      </c>
      <c r="E45" t="s">
        <v>70</v>
      </c>
      <c r="F45" t="s">
        <v>70</v>
      </c>
      <c r="G45" t="s">
        <v>6711</v>
      </c>
    </row>
    <row r="46" spans="3:10" x14ac:dyDescent="0.25">
      <c r="C46" t="str">
        <f t="shared" si="2"/>
        <v>Chcete profily krátit na míru?</v>
      </c>
      <c r="D46" s="6" t="s">
        <v>71</v>
      </c>
      <c r="E46" t="s">
        <v>6601</v>
      </c>
      <c r="F46" t="s">
        <v>6842</v>
      </c>
      <c r="G46" t="s">
        <v>6712</v>
      </c>
    </row>
    <row r="47" spans="3:10" x14ac:dyDescent="0.25">
      <c r="C47" t="str">
        <f t="shared" si="2"/>
        <v>Montáž:</v>
      </c>
      <c r="D47" s="6" t="s">
        <v>72</v>
      </c>
      <c r="E47" t="s">
        <v>72</v>
      </c>
      <c r="F47" t="s">
        <v>6843</v>
      </c>
      <c r="G47" t="s">
        <v>6713</v>
      </c>
    </row>
    <row r="48" spans="3:10" x14ac:dyDescent="0.25">
      <c r="C48" t="str">
        <f t="shared" si="2"/>
        <v>Barva:</v>
      </c>
      <c r="D48" s="6" t="s">
        <v>73</v>
      </c>
      <c r="E48" t="s">
        <v>6602</v>
      </c>
      <c r="F48" t="s">
        <v>6844</v>
      </c>
      <c r="G48" t="s">
        <v>6714</v>
      </c>
    </row>
    <row r="49" spans="2:8" x14ac:dyDescent="0.25">
      <c r="C49" t="str">
        <f t="shared" si="2"/>
        <v>Verze 1.0</v>
      </c>
      <c r="D49" t="str">
        <f>"Verze "&amp;C1</f>
        <v>Verze 1.0</v>
      </c>
      <c r="E49" t="s">
        <v>6603</v>
      </c>
      <c r="F49" t="s">
        <v>6845</v>
      </c>
      <c r="G49" t="s">
        <v>6715</v>
      </c>
      <c r="H49" t="str">
        <f>"Version "&amp;C1</f>
        <v>Version 1.0</v>
      </c>
    </row>
    <row r="50" spans="2:8" x14ac:dyDescent="0.25">
      <c r="B50" t="s">
        <v>74</v>
      </c>
      <c r="C50" t="str">
        <f t="shared" si="2"/>
        <v>bílá</v>
      </c>
      <c r="D50" t="s">
        <v>74</v>
      </c>
      <c r="E50" t="s">
        <v>6604</v>
      </c>
      <c r="F50" t="s">
        <v>6846</v>
      </c>
      <c r="G50" t="s">
        <v>6716</v>
      </c>
    </row>
    <row r="51" spans="2:8" x14ac:dyDescent="0.25">
      <c r="B51" t="s">
        <v>75</v>
      </c>
      <c r="C51" t="str">
        <f t="shared" si="2"/>
        <v>černá</v>
      </c>
      <c r="D51" t="s">
        <v>75</v>
      </c>
      <c r="E51" t="s">
        <v>6605</v>
      </c>
      <c r="F51" t="s">
        <v>6930</v>
      </c>
      <c r="G51" t="s">
        <v>6717</v>
      </c>
    </row>
    <row r="52" spans="2:8" x14ac:dyDescent="0.25">
      <c r="B52" t="s">
        <v>76</v>
      </c>
      <c r="C52" t="str">
        <f t="shared" si="2"/>
        <v>stříbrná</v>
      </c>
      <c r="D52" t="s">
        <v>76</v>
      </c>
      <c r="E52" t="s">
        <v>6606</v>
      </c>
      <c r="F52" t="s">
        <v>6848</v>
      </c>
      <c r="G52" t="s">
        <v>6718</v>
      </c>
    </row>
    <row r="53" spans="2:8" x14ac:dyDescent="0.25">
      <c r="C53" t="str">
        <f t="shared" si="2"/>
        <v>Definujte tvar sestavy:</v>
      </c>
      <c r="D53" t="s">
        <v>77</v>
      </c>
      <c r="E53" t="s">
        <v>6607</v>
      </c>
      <c r="F53" t="s">
        <v>6849</v>
      </c>
      <c r="G53" t="s">
        <v>6719</v>
      </c>
    </row>
    <row r="54" spans="2:8" x14ac:dyDescent="0.25">
      <c r="C54" t="str">
        <f t="shared" si="2"/>
        <v>Definujte profil:</v>
      </c>
      <c r="D54" s="6" t="s">
        <v>78</v>
      </c>
      <c r="E54" t="s">
        <v>78</v>
      </c>
      <c r="F54" t="s">
        <v>6850</v>
      </c>
      <c r="G54" t="s">
        <v>6720</v>
      </c>
    </row>
    <row r="55" spans="2:8" x14ac:dyDescent="0.25">
      <c r="C55" t="str">
        <f t="shared" si="2"/>
        <v>Krycí lišta:</v>
      </c>
      <c r="D55" s="6" t="s">
        <v>79</v>
      </c>
      <c r="E55" t="s">
        <v>6608</v>
      </c>
      <c r="F55" t="s">
        <v>6851</v>
      </c>
      <c r="G55" t="s">
        <v>6721</v>
      </c>
    </row>
    <row r="56" spans="2:8" x14ac:dyDescent="0.25">
      <c r="C56" t="str">
        <f t="shared" si="2"/>
        <v xml:space="preserve">Vyplněnou objednávku zašlete na adresu: </v>
      </c>
      <c r="D56" s="6" t="s">
        <v>6679</v>
      </c>
      <c r="E56" t="s">
        <v>6678</v>
      </c>
      <c r="F56" t="s">
        <v>6677</v>
      </c>
      <c r="G56" t="s">
        <v>6676</v>
      </c>
    </row>
    <row r="57" spans="2:8" x14ac:dyDescent="0.25">
      <c r="C57" t="str">
        <f t="shared" si="2"/>
        <v>objednavky@demos-trade.com</v>
      </c>
      <c r="D57" s="8" t="s">
        <v>80</v>
      </c>
      <c r="E57" t="s">
        <v>6609</v>
      </c>
      <c r="F57" t="s">
        <v>81</v>
      </c>
      <c r="G57" s="24" t="s">
        <v>82</v>
      </c>
    </row>
    <row r="58" spans="2:8" x14ac:dyDescent="0.25">
      <c r="C58" t="str">
        <f t="shared" si="2"/>
        <v>mléčná</v>
      </c>
      <c r="D58" t="s">
        <v>83</v>
      </c>
      <c r="E58" t="s">
        <v>6610</v>
      </c>
      <c r="F58" t="s">
        <v>6852</v>
      </c>
      <c r="G58" t="s">
        <v>6722</v>
      </c>
    </row>
    <row r="59" spans="2:8" x14ac:dyDescent="0.25">
      <c r="C59" t="str">
        <f t="shared" si="2"/>
        <v>průsvitná</v>
      </c>
      <c r="D59" t="s">
        <v>84</v>
      </c>
      <c r="E59" t="s">
        <v>6611</v>
      </c>
      <c r="F59" t="s">
        <v>6853</v>
      </c>
      <c r="G59" t="s">
        <v>6723</v>
      </c>
    </row>
    <row r="60" spans="2:8" x14ac:dyDescent="0.25">
      <c r="C60" t="str">
        <f t="shared" si="2"/>
        <v>černá</v>
      </c>
      <c r="D60" t="s">
        <v>75</v>
      </c>
      <c r="E60" t="s">
        <v>6605</v>
      </c>
      <c r="F60" t="s">
        <v>6847</v>
      </c>
      <c r="G60" t="s">
        <v>6717</v>
      </c>
    </row>
    <row r="61" spans="2:8" x14ac:dyDescent="0.25">
      <c r="C61" t="str">
        <f t="shared" si="2"/>
        <v>bez krycí lišty</v>
      </c>
      <c r="D61" t="s">
        <v>85</v>
      </c>
      <c r="E61" t="s">
        <v>6612</v>
      </c>
      <c r="F61" t="s">
        <v>6854</v>
      </c>
      <c r="G61" t="s">
        <v>6724</v>
      </c>
    </row>
    <row r="62" spans="2:8" x14ac:dyDescent="0.25">
      <c r="C62" t="str">
        <f t="shared" si="2"/>
        <v xml:space="preserve"> - propustnost světla</v>
      </c>
      <c r="D62" t="s">
        <v>86</v>
      </c>
      <c r="E62" t="s">
        <v>6613</v>
      </c>
      <c r="F62" t="s">
        <v>6855</v>
      </c>
      <c r="G62" t="s">
        <v>6725</v>
      </c>
    </row>
    <row r="63" spans="2:8" x14ac:dyDescent="0.25">
      <c r="C63" t="str">
        <f t="shared" si="2"/>
        <v>Koncovka:</v>
      </c>
      <c r="D63" t="s">
        <v>87</v>
      </c>
      <c r="E63" t="s">
        <v>87</v>
      </c>
      <c r="F63" t="s">
        <v>6856</v>
      </c>
      <c r="G63" t="s">
        <v>6726</v>
      </c>
    </row>
    <row r="64" spans="2:8" x14ac:dyDescent="0.25">
      <c r="C64" t="str">
        <f t="shared" si="2"/>
        <v>Množství koncovek (páry):</v>
      </c>
      <c r="D64" t="s">
        <v>88</v>
      </c>
      <c r="E64" t="s">
        <v>6614</v>
      </c>
      <c r="F64" t="s">
        <v>6857</v>
      </c>
      <c r="G64" t="s">
        <v>6727</v>
      </c>
    </row>
    <row r="65" spans="3:8" x14ac:dyDescent="0.25">
      <c r="C65" t="str">
        <f t="shared" si="2"/>
        <v>pár</v>
      </c>
      <c r="D65" t="s">
        <v>89</v>
      </c>
      <c r="E65" t="s">
        <v>89</v>
      </c>
      <c r="F65" t="s">
        <v>6858</v>
      </c>
      <c r="G65" t="s">
        <v>89</v>
      </c>
    </row>
    <row r="66" spans="3:8" x14ac:dyDescent="0.25">
      <c r="C66" t="str">
        <f t="shared" si="2"/>
        <v>páry</v>
      </c>
      <c r="D66" t="s">
        <v>90</v>
      </c>
      <c r="E66" t="s">
        <v>6615</v>
      </c>
      <c r="F66" t="s">
        <v>6859</v>
      </c>
      <c r="G66" t="s">
        <v>89</v>
      </c>
    </row>
    <row r="67" spans="3:8" x14ac:dyDescent="0.25">
      <c r="C67" t="str">
        <f t="shared" ref="C67:C70" si="3">IF($D$1=1,D:D,IF($D$1=2,E:E,IF($D$1=3,F:F,IF($D$1=4,G:G,IF($D$1=5,H:H)))))</f>
        <v>LED pásek:</v>
      </c>
      <c r="D67" t="s">
        <v>91</v>
      </c>
      <c r="E67" t="s">
        <v>6616</v>
      </c>
      <c r="F67" t="s">
        <v>6860</v>
      </c>
      <c r="G67" t="s">
        <v>6728</v>
      </c>
    </row>
    <row r="68" spans="3:8" x14ac:dyDescent="0.25">
      <c r="C68" t="str">
        <f t="shared" si="3"/>
        <v>Napětí:</v>
      </c>
      <c r="D68" s="9" t="s">
        <v>92</v>
      </c>
      <c r="E68" t="s">
        <v>6617</v>
      </c>
      <c r="F68" t="s">
        <v>6861</v>
      </c>
      <c r="G68" t="s">
        <v>6729</v>
      </c>
      <c r="H68" s="3"/>
    </row>
    <row r="69" spans="3:8" x14ac:dyDescent="0.25">
      <c r="C69" t="str">
        <f t="shared" si="3"/>
        <v>Typ led pásku:</v>
      </c>
      <c r="D69" s="9" t="s">
        <v>93</v>
      </c>
      <c r="E69" t="s">
        <v>6618</v>
      </c>
      <c r="F69" t="s">
        <v>6862</v>
      </c>
      <c r="G69" t="s">
        <v>6730</v>
      </c>
    </row>
    <row r="70" spans="3:8" x14ac:dyDescent="0.25">
      <c r="C70" t="str">
        <f t="shared" si="3"/>
        <v>Teplota LED pásku:</v>
      </c>
      <c r="D70" t="s">
        <v>94</v>
      </c>
      <c r="E70" t="s">
        <v>6619</v>
      </c>
      <c r="F70" t="s">
        <v>6863</v>
      </c>
      <c r="G70" t="s">
        <v>6731</v>
      </c>
    </row>
    <row r="71" spans="3:8" x14ac:dyDescent="0.25">
      <c r="C71" t="str">
        <f t="shared" ref="C71:C80" si="4">IF($D$1=1,D:D,IF($D$1=2,E:E,IF($D$1=3,F:F,IF($D$1=4,G:G,IF($D$1=5,H:H)))))</f>
        <v>extra teplá +- 2000K</v>
      </c>
      <c r="D71" t="s">
        <v>95</v>
      </c>
      <c r="E71" t="s">
        <v>6620</v>
      </c>
      <c r="F71" t="s">
        <v>6864</v>
      </c>
      <c r="G71" t="s">
        <v>6732</v>
      </c>
    </row>
    <row r="72" spans="3:8" x14ac:dyDescent="0.25">
      <c r="C72" t="str">
        <f t="shared" si="4"/>
        <v>teplá +-3000K</v>
      </c>
      <c r="D72" t="s">
        <v>96</v>
      </c>
      <c r="E72" t="s">
        <v>6621</v>
      </c>
      <c r="F72" t="s">
        <v>6865</v>
      </c>
      <c r="G72" t="s">
        <v>6733</v>
      </c>
    </row>
    <row r="73" spans="3:8" x14ac:dyDescent="0.25">
      <c r="C73" t="str">
        <f t="shared" si="4"/>
        <v>neutrální+- 4000K</v>
      </c>
      <c r="D73" t="s">
        <v>97</v>
      </c>
      <c r="E73" t="s">
        <v>6622</v>
      </c>
      <c r="F73" t="s">
        <v>6866</v>
      </c>
      <c r="G73" t="s">
        <v>6734</v>
      </c>
    </row>
    <row r="74" spans="3:8" x14ac:dyDescent="0.25">
      <c r="C74" t="str">
        <f t="shared" si="4"/>
        <v>studená +-6500K</v>
      </c>
      <c r="D74" t="s">
        <v>98</v>
      </c>
      <c r="E74" t="s">
        <v>6623</v>
      </c>
      <c r="F74" t="s">
        <v>6867</v>
      </c>
      <c r="G74" t="s">
        <v>6735</v>
      </c>
    </row>
    <row r="75" spans="3:8" x14ac:dyDescent="0.25">
      <c r="C75" t="str">
        <f t="shared" si="4"/>
        <v>Svítivost:</v>
      </c>
      <c r="D75" t="s">
        <v>99</v>
      </c>
      <c r="E75" t="s">
        <v>6624</v>
      </c>
      <c r="F75" t="s">
        <v>6868</v>
      </c>
      <c r="G75" t="s">
        <v>6736</v>
      </c>
    </row>
    <row r="76" spans="3:8" x14ac:dyDescent="0.25">
      <c r="C76" t="str">
        <f t="shared" si="4"/>
        <v>nízká (do 500 lm/m)</v>
      </c>
      <c r="D76" t="s">
        <v>100</v>
      </c>
      <c r="E76" t="s">
        <v>6625</v>
      </c>
      <c r="F76" t="s">
        <v>6869</v>
      </c>
      <c r="G76" t="s">
        <v>6737</v>
      </c>
    </row>
    <row r="77" spans="3:8" x14ac:dyDescent="0.25">
      <c r="C77" t="str">
        <f t="shared" si="4"/>
        <v>střední (do 1000 lm/m)</v>
      </c>
      <c r="D77" t="s">
        <v>101</v>
      </c>
      <c r="E77" t="s">
        <v>6626</v>
      </c>
      <c r="F77" t="s">
        <v>6870</v>
      </c>
      <c r="G77" t="s">
        <v>6738</v>
      </c>
    </row>
    <row r="78" spans="3:8" x14ac:dyDescent="0.25">
      <c r="C78" t="str">
        <f t="shared" si="4"/>
        <v>vysoká (do 2000 lm/m)</v>
      </c>
      <c r="D78" t="s">
        <v>102</v>
      </c>
      <c r="E78" t="s">
        <v>102</v>
      </c>
      <c r="F78" t="s">
        <v>6871</v>
      </c>
      <c r="G78" t="s">
        <v>6739</v>
      </c>
    </row>
    <row r="79" spans="3:8" x14ac:dyDescent="0.25">
      <c r="C79" t="str">
        <f t="shared" si="4"/>
        <v>velmi vysoká (nad 2000 lm/m)</v>
      </c>
      <c r="D79" t="s">
        <v>103</v>
      </c>
      <c r="E79" t="s">
        <v>6627</v>
      </c>
      <c r="F79" t="s">
        <v>6872</v>
      </c>
      <c r="G79" t="s">
        <v>6740</v>
      </c>
    </row>
    <row r="80" spans="3:8" x14ac:dyDescent="0.25">
      <c r="C80" t="str">
        <f t="shared" si="4"/>
        <v>pozn: pro osvětlení pracovní desky stačí vysoká svítivost</v>
      </c>
      <c r="D80" t="s">
        <v>104</v>
      </c>
      <c r="E80" t="s">
        <v>6628</v>
      </c>
      <c r="F80" t="s">
        <v>6873</v>
      </c>
      <c r="G80" t="s">
        <v>6741</v>
      </c>
    </row>
    <row r="81" spans="3:7" x14ac:dyDescent="0.25">
      <c r="C81" t="str">
        <f t="shared" ref="C81:C144" si="5">IF($D$1=1,D:D,IF($D$1=2,E:E,IF($D$1=3,F:F,IF($D$1=4,G:G,IF($D$1=5,H:H)))))</f>
        <v>Délka (mm):</v>
      </c>
      <c r="D81" t="s">
        <v>5798</v>
      </c>
      <c r="E81" t="s">
        <v>6629</v>
      </c>
      <c r="F81" t="s">
        <v>6874</v>
      </c>
      <c r="G81" t="s">
        <v>6742</v>
      </c>
    </row>
    <row r="82" spans="3:7" x14ac:dyDescent="0.25">
      <c r="C82" t="str">
        <f t="shared" si="5"/>
        <v>Množství (ks):</v>
      </c>
      <c r="D82" t="s">
        <v>105</v>
      </c>
      <c r="E82" t="s">
        <v>6630</v>
      </c>
      <c r="F82" t="s">
        <v>6875</v>
      </c>
      <c r="G82" t="s">
        <v>6743</v>
      </c>
    </row>
    <row r="83" spans="3:7" x14ac:dyDescent="0.25">
      <c r="C83" t="str">
        <f t="shared" si="5"/>
        <v xml:space="preserve"> Zadávejte celkovou vnější délku vč. koncovek</v>
      </c>
      <c r="D83" t="s">
        <v>106</v>
      </c>
      <c r="E83" t="s">
        <v>6631</v>
      </c>
      <c r="F83" t="s">
        <v>6876</v>
      </c>
      <c r="G83" t="s">
        <v>6744</v>
      </c>
    </row>
    <row r="84" spans="3:7" x14ac:dyDescent="0.25">
      <c r="C84" t="str">
        <f t="shared" si="5"/>
        <v>ks</v>
      </c>
      <c r="D84" t="s">
        <v>107</v>
      </c>
      <c r="E84" t="s">
        <v>107</v>
      </c>
      <c r="F84" t="s">
        <v>6877</v>
      </c>
      <c r="G84" t="s">
        <v>6745</v>
      </c>
    </row>
    <row r="85" spans="3:7" x14ac:dyDescent="0.25">
      <c r="C85" t="str">
        <f t="shared" si="5"/>
        <v>v profilu</v>
      </c>
      <c r="D85" t="s">
        <v>108</v>
      </c>
      <c r="E85" t="s">
        <v>6632</v>
      </c>
      <c r="F85" t="s">
        <v>6878</v>
      </c>
      <c r="G85" t="s">
        <v>6746</v>
      </c>
    </row>
    <row r="86" spans="3:7" x14ac:dyDescent="0.25">
      <c r="C86" t="str">
        <f t="shared" si="5"/>
        <v>mimo profil</v>
      </c>
      <c r="D86" t="s">
        <v>109</v>
      </c>
      <c r="E86" t="s">
        <v>109</v>
      </c>
      <c r="F86" t="s">
        <v>6879</v>
      </c>
      <c r="G86" t="s">
        <v>6747</v>
      </c>
    </row>
    <row r="87" spans="3:7" x14ac:dyDescent="0.25">
      <c r="C87" t="str">
        <f t="shared" si="5"/>
        <v>bezdrátové</v>
      </c>
      <c r="D87" t="s">
        <v>110</v>
      </c>
      <c r="E87" t="s">
        <v>6633</v>
      </c>
      <c r="F87" t="s">
        <v>6880</v>
      </c>
      <c r="G87" t="s">
        <v>6748</v>
      </c>
    </row>
    <row r="88" spans="3:7" x14ac:dyDescent="0.25">
      <c r="C88" t="str">
        <f t="shared" si="5"/>
        <v>vlastní vypínač na zdi</v>
      </c>
      <c r="D88" t="s">
        <v>111</v>
      </c>
      <c r="E88" t="s">
        <v>6634</v>
      </c>
      <c r="F88" t="s">
        <v>6881</v>
      </c>
      <c r="G88" t="s">
        <v>6749</v>
      </c>
    </row>
    <row r="89" spans="3:7" x14ac:dyDescent="0.25">
      <c r="C89" t="str">
        <f t="shared" si="5"/>
        <v>Způsob ovládání sestavy:</v>
      </c>
      <c r="D89" t="s">
        <v>112</v>
      </c>
      <c r="E89" t="s">
        <v>6635</v>
      </c>
      <c r="F89" t="s">
        <v>6882</v>
      </c>
      <c r="G89" t="s">
        <v>6750</v>
      </c>
    </row>
    <row r="90" spans="3:7" x14ac:dyDescent="0.25">
      <c r="C90" t="str">
        <f t="shared" si="5"/>
        <v>Vypínač:</v>
      </c>
      <c r="D90" t="s">
        <v>113</v>
      </c>
      <c r="E90" t="s">
        <v>113</v>
      </c>
      <c r="F90" t="s">
        <v>6883</v>
      </c>
      <c r="G90" t="s">
        <v>6751</v>
      </c>
    </row>
    <row r="91" spans="3:7" x14ac:dyDescent="0.25">
      <c r="C91" t="str">
        <f t="shared" si="5"/>
        <v xml:space="preserve">Bude </v>
      </c>
      <c r="D91" t="s">
        <v>114</v>
      </c>
      <c r="E91" t="s">
        <v>6636</v>
      </c>
      <c r="F91" t="s">
        <v>6884</v>
      </c>
      <c r="G91" t="s">
        <v>6752</v>
      </c>
    </row>
    <row r="92" spans="3:7" x14ac:dyDescent="0.25">
      <c r="C92" t="str">
        <f t="shared" si="5"/>
        <v>Typ bezdrátového ovladače:</v>
      </c>
      <c r="D92" t="s">
        <v>115</v>
      </c>
      <c r="E92" t="s">
        <v>6637</v>
      </c>
      <c r="F92" t="s">
        <v>6885</v>
      </c>
      <c r="G92" t="s">
        <v>6753</v>
      </c>
    </row>
    <row r="93" spans="3:7" x14ac:dyDescent="0.25">
      <c r="C93" t="str">
        <f t="shared" si="5"/>
        <v>kinetické</v>
      </c>
      <c r="D93" t="s">
        <v>116</v>
      </c>
      <c r="E93" t="s">
        <v>116</v>
      </c>
      <c r="F93" t="s">
        <v>6886</v>
      </c>
      <c r="G93" t="s">
        <v>6754</v>
      </c>
    </row>
    <row r="94" spans="3:7" x14ac:dyDescent="0.25">
      <c r="C94" t="str">
        <f t="shared" si="5"/>
        <v>na baterii</v>
      </c>
      <c r="D94" s="6" t="s">
        <v>117</v>
      </c>
      <c r="E94" t="s">
        <v>6638</v>
      </c>
      <c r="F94" t="s">
        <v>6887</v>
      </c>
      <c r="G94" t="s">
        <v>6755</v>
      </c>
    </row>
    <row r="95" spans="3:7" x14ac:dyDescent="0.25">
      <c r="C95" t="str">
        <f>IF($D$1=1,D:D,IF($D$1=2,E:E,IF($D$1=3,F:F,IF($D$1=4,G:G,IF($D$1=5,H:H)))))</f>
        <v>Jednotka:</v>
      </c>
      <c r="D95" t="s">
        <v>118</v>
      </c>
      <c r="E95" t="s">
        <v>118</v>
      </c>
      <c r="F95" t="s">
        <v>6888</v>
      </c>
      <c r="G95" t="s">
        <v>6756</v>
      </c>
    </row>
    <row r="96" spans="3:7" x14ac:dyDescent="0.25">
      <c r="C96" t="str">
        <f t="shared" si="5"/>
        <v>Počet vypínačů:</v>
      </c>
      <c r="D96" t="s">
        <v>119</v>
      </c>
      <c r="E96" t="s">
        <v>6639</v>
      </c>
      <c r="F96" t="s">
        <v>6889</v>
      </c>
      <c r="G96" t="s">
        <v>6757</v>
      </c>
    </row>
    <row r="97" spans="3:8" x14ac:dyDescent="0.25">
      <c r="C97" t="str">
        <f t="shared" si="5"/>
        <v>1 = ovládá celou sestavu</v>
      </c>
      <c r="D97" t="s">
        <v>120</v>
      </c>
      <c r="E97" t="s">
        <v>6640</v>
      </c>
      <c r="F97" t="s">
        <v>6890</v>
      </c>
      <c r="G97" t="s">
        <v>6758</v>
      </c>
    </row>
    <row r="98" spans="3:8" x14ac:dyDescent="0.25">
      <c r="C98" t="str">
        <f t="shared" si="5"/>
        <v>2 = ovládá každé rameno zvlášť</v>
      </c>
      <c r="D98" s="11" t="s">
        <v>121</v>
      </c>
      <c r="E98" t="s">
        <v>6641</v>
      </c>
      <c r="F98" t="s">
        <v>6891</v>
      </c>
      <c r="G98" t="s">
        <v>6759</v>
      </c>
      <c r="H98" s="11"/>
    </row>
    <row r="99" spans="3:8" x14ac:dyDescent="0.25">
      <c r="C99" t="str">
        <f t="shared" si="5"/>
        <v>upozornění: délka sestavy se prodlouží o  vybrané koncovky</v>
      </c>
      <c r="D99" s="11" t="s">
        <v>122</v>
      </c>
      <c r="E99" t="s">
        <v>6642</v>
      </c>
      <c r="F99" t="s">
        <v>6892</v>
      </c>
      <c r="G99" t="s">
        <v>6760</v>
      </c>
      <c r="H99" s="11"/>
    </row>
    <row r="100" spans="3:8" x14ac:dyDescent="0.25">
      <c r="C100" t="str">
        <f t="shared" si="5"/>
        <v>Ovládání:</v>
      </c>
      <c r="D100" t="s">
        <v>123</v>
      </c>
      <c r="E100" t="s">
        <v>6643</v>
      </c>
      <c r="F100" t="s">
        <v>6893</v>
      </c>
      <c r="G100" t="s">
        <v>6761</v>
      </c>
    </row>
    <row r="101" spans="3:8" x14ac:dyDescent="0.25">
      <c r="C101" t="str">
        <f t="shared" si="5"/>
        <v>POZOR! Neplatná kombice - zkontrolujte všechny volby</v>
      </c>
      <c r="D101" t="s">
        <v>124</v>
      </c>
      <c r="E101" t="s">
        <v>6644</v>
      </c>
      <c r="F101" t="s">
        <v>6894</v>
      </c>
      <c r="G101" t="s">
        <v>6762</v>
      </c>
    </row>
    <row r="102" spans="3:8" x14ac:dyDescent="0.25">
      <c r="C102" t="str">
        <f t="shared" si="5"/>
        <v>Počet jednotek:</v>
      </c>
      <c r="D102" t="s">
        <v>125</v>
      </c>
      <c r="E102" t="s">
        <v>6645</v>
      </c>
      <c r="F102" t="s">
        <v>6895</v>
      </c>
      <c r="G102" t="s">
        <v>6763</v>
      </c>
    </row>
    <row r="103" spans="3:8" x14ac:dyDescent="0.25">
      <c r="C103" t="str">
        <f t="shared" si="5"/>
        <v>Přehled ovladačů</v>
      </c>
      <c r="D103" t="s">
        <v>126</v>
      </c>
      <c r="E103" t="s">
        <v>6646</v>
      </c>
      <c r="F103" t="s">
        <v>6896</v>
      </c>
      <c r="G103" t="s">
        <v>6764</v>
      </c>
    </row>
    <row r="104" spans="3:8" x14ac:dyDescent="0.25">
      <c r="C104" t="str">
        <f t="shared" si="5"/>
        <v>zde</v>
      </c>
      <c r="D104" t="s">
        <v>127</v>
      </c>
      <c r="E104" t="s">
        <v>6647</v>
      </c>
      <c r="F104" t="s">
        <v>6647</v>
      </c>
      <c r="G104" t="s">
        <v>6765</v>
      </c>
    </row>
    <row r="105" spans="3:8" x14ac:dyDescent="0.25">
      <c r="C105" t="str">
        <f t="shared" si="5"/>
        <v>Souhrn</v>
      </c>
      <c r="D105" t="s">
        <v>128</v>
      </c>
      <c r="E105" t="s">
        <v>6648</v>
      </c>
      <c r="F105" t="s">
        <v>6897</v>
      </c>
      <c r="G105" t="s">
        <v>6766</v>
      </c>
    </row>
    <row r="106" spans="3:8" x14ac:dyDescent="0.25">
      <c r="C106" t="str">
        <f t="shared" si="5"/>
        <v>příchyty</v>
      </c>
      <c r="D106" t="s">
        <v>129</v>
      </c>
      <c r="E106" t="s">
        <v>6649</v>
      </c>
      <c r="F106" t="s">
        <v>6898</v>
      </c>
      <c r="G106" t="s">
        <v>6767</v>
      </c>
    </row>
    <row r="107" spans="3:8" x14ac:dyDescent="0.25">
      <c r="C107" t="str">
        <f t="shared" si="5"/>
        <v>oboustranná lepící páska</v>
      </c>
      <c r="D107" t="s">
        <v>130</v>
      </c>
      <c r="E107" t="s">
        <v>6650</v>
      </c>
      <c r="F107" t="s">
        <v>6899</v>
      </c>
      <c r="G107" t="s">
        <v>6768</v>
      </c>
    </row>
    <row r="108" spans="3:8" x14ac:dyDescent="0.25">
      <c r="C108" t="str">
        <f t="shared" si="5"/>
        <v>vlastní řešení</v>
      </c>
      <c r="D108" t="s">
        <v>131</v>
      </c>
      <c r="E108" t="s">
        <v>6651</v>
      </c>
      <c r="F108" t="s">
        <v>6900</v>
      </c>
      <c r="G108" t="s">
        <v>6769</v>
      </c>
    </row>
    <row r="109" spans="3:8" x14ac:dyDescent="0.25">
      <c r="C109" t="str">
        <f t="shared" si="5"/>
        <v>Montáž profilu:</v>
      </c>
      <c r="D109" t="s">
        <v>132</v>
      </c>
      <c r="E109" t="s">
        <v>132</v>
      </c>
      <c r="F109" t="s">
        <v>6901</v>
      </c>
      <c r="G109" t="s">
        <v>6770</v>
      </c>
    </row>
    <row r="110" spans="3:8" x14ac:dyDescent="0.25">
      <c r="C110" t="str">
        <f t="shared" si="5"/>
        <v>Nalepit LED pásek do profilu:</v>
      </c>
      <c r="D110" t="s">
        <v>133</v>
      </c>
      <c r="E110" t="s">
        <v>6652</v>
      </c>
      <c r="F110" t="s">
        <v>6902</v>
      </c>
      <c r="G110" t="s">
        <v>6771</v>
      </c>
    </row>
    <row r="111" spans="3:8" x14ac:dyDescent="0.25">
      <c r="C111" t="str">
        <f t="shared" si="5"/>
        <v>Kód:</v>
      </c>
      <c r="D111" t="s">
        <v>4686</v>
      </c>
      <c r="E111" t="s">
        <v>4686</v>
      </c>
      <c r="F111" t="s">
        <v>6903</v>
      </c>
      <c r="G111" t="s">
        <v>6772</v>
      </c>
    </row>
    <row r="112" spans="3:8" x14ac:dyDescent="0.25">
      <c r="C112" t="str">
        <f t="shared" si="5"/>
        <v>Název:</v>
      </c>
      <c r="D112" t="s">
        <v>4687</v>
      </c>
      <c r="E112" t="s">
        <v>6653</v>
      </c>
      <c r="F112" t="s">
        <v>6904</v>
      </c>
      <c r="G112" t="s">
        <v>6773</v>
      </c>
    </row>
    <row r="113" spans="3:7" x14ac:dyDescent="0.25">
      <c r="C113" t="str">
        <f t="shared" si="5"/>
        <v>Upravit množství:</v>
      </c>
      <c r="D113" t="s">
        <v>4688</v>
      </c>
      <c r="E113" t="s">
        <v>6654</v>
      </c>
      <c r="F113" t="s">
        <v>6905</v>
      </c>
      <c r="G113" t="s">
        <v>6774</v>
      </c>
    </row>
    <row r="114" spans="3:7" x14ac:dyDescent="0.25">
      <c r="C114" t="str">
        <f t="shared" si="5"/>
        <v>Cena/ks:</v>
      </c>
      <c r="D114" t="s">
        <v>4691</v>
      </c>
      <c r="E114" t="s">
        <v>4691</v>
      </c>
      <c r="F114" t="s">
        <v>6906</v>
      </c>
      <c r="G114" t="s">
        <v>6775</v>
      </c>
    </row>
    <row r="115" spans="3:7" x14ac:dyDescent="0.25">
      <c r="C115" t="str">
        <f t="shared" si="5"/>
        <v>Cena celkem:</v>
      </c>
      <c r="D115" t="s">
        <v>4692</v>
      </c>
      <c r="E115" t="s">
        <v>6655</v>
      </c>
      <c r="F115" t="s">
        <v>6907</v>
      </c>
      <c r="G115" t="s">
        <v>6776</v>
      </c>
    </row>
    <row r="116" spans="3:7" x14ac:dyDescent="0.25">
      <c r="C116" t="str">
        <f t="shared" si="5"/>
        <v>Sleva:</v>
      </c>
      <c r="D116" t="s">
        <v>4689</v>
      </c>
      <c r="E116" t="s">
        <v>6656</v>
      </c>
      <c r="F116" t="s">
        <v>6908</v>
      </c>
      <c r="G116" t="s">
        <v>6777</v>
      </c>
    </row>
    <row r="117" spans="3:7" x14ac:dyDescent="0.25">
      <c r="C117" t="str">
        <f t="shared" si="5"/>
        <v>Cena po slevě:</v>
      </c>
      <c r="D117" t="s">
        <v>4690</v>
      </c>
      <c r="E117" t="s">
        <v>6657</v>
      </c>
      <c r="F117" t="s">
        <v>6909</v>
      </c>
      <c r="G117" t="s">
        <v>6778</v>
      </c>
    </row>
    <row r="118" spans="3:7" x14ac:dyDescent="0.25">
      <c r="C118" t="str">
        <f t="shared" si="5"/>
        <v>Celková délka LED pásku (m):</v>
      </c>
      <c r="D118" t="s">
        <v>4693</v>
      </c>
      <c r="E118" t="s">
        <v>6658</v>
      </c>
      <c r="F118" t="s">
        <v>6910</v>
      </c>
      <c r="G118" t="s">
        <v>6779</v>
      </c>
    </row>
    <row r="119" spans="3:7" x14ac:dyDescent="0.25">
      <c r="C119" t="str">
        <f t="shared" si="5"/>
        <v>Množství:</v>
      </c>
      <c r="D119" t="s">
        <v>4694</v>
      </c>
      <c r="E119" t="s">
        <v>6659</v>
      </c>
      <c r="F119" t="s">
        <v>6911</v>
      </c>
      <c r="G119" t="s">
        <v>6780</v>
      </c>
    </row>
    <row r="120" spans="3:7" x14ac:dyDescent="0.25">
      <c r="C120" t="str">
        <f t="shared" si="5"/>
        <v>Pokud chcete jiný způsob zapojení, využijte níže pole pro poznámku a přiložte nákres k objednávce.</v>
      </c>
      <c r="D120" t="s">
        <v>5782</v>
      </c>
      <c r="E120" t="s">
        <v>6660</v>
      </c>
      <c r="F120" t="s">
        <v>6912</v>
      </c>
      <c r="G120" t="s">
        <v>6781</v>
      </c>
    </row>
    <row r="121" spans="3:7" x14ac:dyDescent="0.25">
      <c r="C121" t="str">
        <f t="shared" si="5"/>
        <v>Maximální výkon led pásku překračuje maximální spínaný výkon vypínače. Zvolete jiný vypínač, nebo slabší led pásek</v>
      </c>
      <c r="D121" t="s">
        <v>5783</v>
      </c>
      <c r="E121" t="s">
        <v>6661</v>
      </c>
      <c r="F121" t="s">
        <v>6913</v>
      </c>
      <c r="G121" t="s">
        <v>6782</v>
      </c>
    </row>
    <row r="122" spans="3:7" x14ac:dyDescent="0.25">
      <c r="C122" t="str">
        <f t="shared" si="5"/>
        <v>Dodací kód:</v>
      </c>
      <c r="D122" t="s">
        <v>5794</v>
      </c>
      <c r="E122" t="s">
        <v>5794</v>
      </c>
      <c r="F122" t="s">
        <v>6914</v>
      </c>
      <c r="G122" t="s">
        <v>6783</v>
      </c>
    </row>
    <row r="123" spans="3:7" x14ac:dyDescent="0.25">
      <c r="C123" t="str">
        <f t="shared" si="5"/>
        <v>MJ</v>
      </c>
      <c r="D123" t="s">
        <v>786</v>
      </c>
      <c r="E123" t="s">
        <v>786</v>
      </c>
      <c r="F123" t="s">
        <v>6915</v>
      </c>
      <c r="G123" t="s">
        <v>6784</v>
      </c>
    </row>
    <row r="124" spans="3:7" x14ac:dyDescent="0.25">
      <c r="C124" t="str">
        <f t="shared" si="5"/>
        <v>Název firmy:</v>
      </c>
      <c r="D124" t="s">
        <v>5800</v>
      </c>
      <c r="E124" t="s">
        <v>6662</v>
      </c>
      <c r="F124" t="s">
        <v>6916</v>
      </c>
      <c r="G124" t="s">
        <v>6785</v>
      </c>
    </row>
    <row r="125" spans="3:7" x14ac:dyDescent="0.25">
      <c r="C125" t="str">
        <f t="shared" si="5"/>
        <v>Adresa dodání:</v>
      </c>
      <c r="D125" t="s">
        <v>5841</v>
      </c>
      <c r="E125" t="s">
        <v>6663</v>
      </c>
      <c r="F125" t="s">
        <v>6917</v>
      </c>
      <c r="G125" t="s">
        <v>6786</v>
      </c>
    </row>
    <row r="126" spans="3:7" x14ac:dyDescent="0.25">
      <c r="C126" t="str">
        <f t="shared" si="5"/>
        <v>IČO:</v>
      </c>
      <c r="D126" t="s">
        <v>5801</v>
      </c>
      <c r="E126" t="s">
        <v>5801</v>
      </c>
      <c r="F126" t="s">
        <v>6918</v>
      </c>
      <c r="G126" t="s">
        <v>6787</v>
      </c>
    </row>
    <row r="127" spans="3:7" x14ac:dyDescent="0.25">
      <c r="C127" t="str">
        <f t="shared" si="5"/>
        <v>Kontaktní tel a email:</v>
      </c>
      <c r="D127" t="s">
        <v>5802</v>
      </c>
      <c r="E127" t="s">
        <v>6664</v>
      </c>
      <c r="F127" t="s">
        <v>6919</v>
      </c>
      <c r="G127" t="s">
        <v>6788</v>
      </c>
    </row>
    <row r="128" spans="3:7" x14ac:dyDescent="0.25">
      <c r="C128" t="str">
        <f t="shared" si="5"/>
        <v>Umístění vypínače od přerušení:</v>
      </c>
      <c r="D128" t="s">
        <v>5822</v>
      </c>
      <c r="E128" t="s">
        <v>6665</v>
      </c>
      <c r="F128" t="s">
        <v>6920</v>
      </c>
      <c r="G128" t="s">
        <v>6789</v>
      </c>
    </row>
    <row r="129" spans="3:7" x14ac:dyDescent="0.25">
      <c r="C129" t="str">
        <f t="shared" si="5"/>
        <v>Vždy používejte aktuální verzi formuláře, který je dostupný na našich stánkách.</v>
      </c>
      <c r="D129" t="s">
        <v>2</v>
      </c>
      <c r="E129" t="s">
        <v>6666</v>
      </c>
      <c r="F129" t="s">
        <v>6921</v>
      </c>
      <c r="G129" t="s">
        <v>6790</v>
      </c>
    </row>
    <row r="130" spans="3:7" x14ac:dyDescent="0.25">
      <c r="C130" t="str">
        <f t="shared" si="5"/>
        <v xml:space="preserve">Vyplňte prosím vaše kontaktní údaje a poté klikněte na požadované políčko níže. </v>
      </c>
      <c r="D130" t="s">
        <v>5835</v>
      </c>
      <c r="E130" t="s">
        <v>6667</v>
      </c>
      <c r="F130" t="s">
        <v>6922</v>
      </c>
      <c r="G130" t="s">
        <v>6791</v>
      </c>
    </row>
    <row r="131" spans="3:7" x14ac:dyDescent="0.25">
      <c r="C131" t="str">
        <f t="shared" si="5"/>
        <v>Počet sestav:</v>
      </c>
      <c r="D131" t="s">
        <v>6563</v>
      </c>
      <c r="E131" t="s">
        <v>6668</v>
      </c>
      <c r="F131" t="s">
        <v>6923</v>
      </c>
      <c r="G131" t="s">
        <v>6792</v>
      </c>
    </row>
    <row r="132" spans="3:7" x14ac:dyDescent="0.25">
      <c r="C132" t="str">
        <f t="shared" si="5"/>
        <v>Celková cena:</v>
      </c>
      <c r="D132" s="6" t="s">
        <v>6946</v>
      </c>
      <c r="E132" t="s">
        <v>6946</v>
      </c>
      <c r="F132" t="s">
        <v>6907</v>
      </c>
      <c r="G132" t="s">
        <v>6947</v>
      </c>
    </row>
    <row r="133" spans="3:7" x14ac:dyDescent="0.25">
      <c r="C133" t="str">
        <f t="shared" si="5"/>
        <v xml:space="preserve">Celková cena za Sestavu </v>
      </c>
      <c r="D133" s="6" t="s">
        <v>6942</v>
      </c>
      <c r="E133" t="s">
        <v>6943</v>
      </c>
      <c r="F133" t="s">
        <v>6944</v>
      </c>
      <c r="G133" t="s">
        <v>6945</v>
      </c>
    </row>
    <row r="134" spans="3:7" x14ac:dyDescent="0.25">
      <c r="C134" t="str">
        <f t="shared" si="5"/>
        <v>Zpět</v>
      </c>
      <c r="D134" t="s">
        <v>3</v>
      </c>
      <c r="E134" t="s">
        <v>6799</v>
      </c>
      <c r="F134" t="s">
        <v>6800</v>
      </c>
      <c r="G134" t="s">
        <v>6801</v>
      </c>
    </row>
    <row r="135" spans="3:7" x14ac:dyDescent="0.25">
      <c r="C135" t="str">
        <f t="shared" si="5"/>
        <v>Pro pokračování vyplňte pole Počet sestav níže.</v>
      </c>
      <c r="D135" s="6" t="s">
        <v>6949</v>
      </c>
      <c r="E135" t="s">
        <v>6952</v>
      </c>
      <c r="F135" t="s">
        <v>6950</v>
      </c>
      <c r="G135" t="s">
        <v>6951</v>
      </c>
    </row>
    <row r="136" spans="3:7" x14ac:dyDescent="0.25">
      <c r="C136" t="str">
        <f t="shared" si="5"/>
        <v xml:space="preserve">Při vyplňování formuláře postupujte vždy shora dolů. Provedete li zpětně změnu, překontrolujte zda jsou následující položky správně. </v>
      </c>
      <c r="D136" t="s">
        <v>5837</v>
      </c>
      <c r="E136" t="s">
        <v>6669</v>
      </c>
      <c r="F136" t="s">
        <v>6924</v>
      </c>
      <c r="G136" t="s">
        <v>6793</v>
      </c>
    </row>
    <row r="137" spans="3:7" x14ac:dyDescent="0.25">
      <c r="C137" t="str">
        <f t="shared" si="5"/>
        <v>Vyplněnou objednávku zašlete na adresu objednavky@demos-trade.com</v>
      </c>
      <c r="D137" s="6" t="s">
        <v>5838</v>
      </c>
      <c r="E137" t="s">
        <v>6670</v>
      </c>
      <c r="F137" t="s">
        <v>6925</v>
      </c>
      <c r="G137" t="s">
        <v>6794</v>
      </c>
    </row>
    <row r="138" spans="3:7" x14ac:dyDescent="0.25">
      <c r="C138" t="str">
        <f t="shared" si="5"/>
        <v>V případě potřeby prosím konzultujte sestavu s oddělením technické podpory, tel. +420 724 474 382</v>
      </c>
      <c r="D138" t="s">
        <v>5839</v>
      </c>
      <c r="E138" t="s">
        <v>6671</v>
      </c>
      <c r="F138" t="s">
        <v>6926</v>
      </c>
      <c r="G138" t="s">
        <v>6795</v>
      </c>
    </row>
    <row r="139" spans="3:7" ht="14.45" customHeight="1" x14ac:dyDescent="0.25">
      <c r="C139" t="str">
        <f t="shared" si="5"/>
        <v>Běžný termín přípravy LED sestavy je 5-10 pracovních dnů.</v>
      </c>
      <c r="D139" t="s">
        <v>5840</v>
      </c>
      <c r="E139" t="s">
        <v>6672</v>
      </c>
      <c r="F139" t="s">
        <v>6927</v>
      </c>
      <c r="G139" t="s">
        <v>6796</v>
      </c>
    </row>
    <row r="140" spans="3:7" x14ac:dyDescent="0.25">
      <c r="C140" t="str">
        <f t="shared" si="5"/>
        <v>Uvedené ceny jsou bez DPH!</v>
      </c>
      <c r="D140" t="s">
        <v>5836</v>
      </c>
      <c r="E140" t="s">
        <v>6673</v>
      </c>
      <c r="F140" t="s">
        <v>6928</v>
      </c>
      <c r="G140" t="s">
        <v>6797</v>
      </c>
    </row>
    <row r="141" spans="3:7" x14ac:dyDescent="0.25">
      <c r="C141" t="str">
        <f t="shared" si="5"/>
        <v xml:space="preserve">Při vyplňování formuláře postupujte vždy shora dolů. Provedete li zpětně změnu, překontrolujte zda jsou následující položky správně. </v>
      </c>
      <c r="D141" t="s">
        <v>5837</v>
      </c>
      <c r="E141" t="s">
        <v>6669</v>
      </c>
      <c r="F141" t="s">
        <v>6924</v>
      </c>
      <c r="G141" t="s">
        <v>6793</v>
      </c>
    </row>
    <row r="142" spans="3:7" x14ac:dyDescent="0.25">
      <c r="C142" t="str">
        <f t="shared" si="5"/>
        <v>Na poplatky za přípravu LED sestavy nelze aplikovat žádné slevy.</v>
      </c>
      <c r="D142" t="s">
        <v>5849</v>
      </c>
      <c r="E142" t="s">
        <v>6674</v>
      </c>
      <c r="F142" t="s">
        <v>6929</v>
      </c>
      <c r="G142" t="s">
        <v>6798</v>
      </c>
    </row>
    <row r="143" spans="3:7" x14ac:dyDescent="0.25">
      <c r="C143" t="str">
        <f t="shared" si="5"/>
        <v>Led pásek dle zadaných parametrů nemáme v nabídce</v>
      </c>
      <c r="D143" t="s">
        <v>6805</v>
      </c>
      <c r="E143" t="s">
        <v>6807</v>
      </c>
      <c r="F143" t="s">
        <v>6806</v>
      </c>
      <c r="G143" t="s">
        <v>6808</v>
      </c>
    </row>
    <row r="144" spans="3:7" x14ac:dyDescent="0.25">
      <c r="C144">
        <f t="shared" si="5"/>
        <v>0</v>
      </c>
    </row>
  </sheetData>
  <hyperlinks>
    <hyperlink ref="D57" r:id="rId1" xr:uid="{99C2D777-DCBD-4461-90D4-CD8EE1F10C40}"/>
    <hyperlink ref="G57" r:id="rId2" xr:uid="{5F502597-7D8D-4E18-9A3D-EF1F101B7A67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8F40-FF32-47EB-A1B5-BFB18ED36CC9}">
  <sheetPr codeName="List5">
    <tabColor theme="7" tint="0.79998168889431442"/>
  </sheetPr>
  <dimension ref="A1:CF147"/>
  <sheetViews>
    <sheetView showGridLines="0" showRowColHeaders="0" showZeros="0" zoomScaleNormal="100" workbookViewId="0">
      <pane ySplit="7" topLeftCell="A8" activePane="bottomLeft" state="frozen"/>
      <selection pane="bottomLeft" activeCell="G15" sqref="G15:O15"/>
    </sheetView>
  </sheetViews>
  <sheetFormatPr defaultColWidth="0" defaultRowHeight="15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7109375" style="7" customWidth="1"/>
    <col min="37" max="37" width="37.85546875" style="140" hidden="1" customWidth="1"/>
    <col min="38" max="38" width="13.42578125" style="7" hidden="1" customWidth="1"/>
    <col min="39" max="39" width="59.71093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16" t="str">
        <f>Překlady!$C$11&amp;" 1"</f>
        <v>Sestava 1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7"/>
      <c r="Z2" s="253" t="str">
        <f>Překlady!C7</f>
        <v>Úvod</v>
      </c>
      <c r="AA2" s="254"/>
      <c r="AB2" s="254"/>
      <c r="AC2" s="254"/>
      <c r="AD2" s="254"/>
      <c r="AE2" s="254"/>
      <c r="AF2" s="254"/>
      <c r="AG2" s="254"/>
      <c r="AH2" s="254"/>
      <c r="AI2" s="254"/>
      <c r="AJ2" s="28"/>
    </row>
    <row r="3" spans="1:42" ht="15" customHeight="1" x14ac:dyDescent="0.25">
      <c r="A3" s="25"/>
      <c r="B3" s="25"/>
      <c r="C3" s="25"/>
      <c r="D3" s="25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7"/>
      <c r="Z3" s="253"/>
      <c r="AA3" s="254"/>
      <c r="AB3" s="254"/>
      <c r="AC3" s="254"/>
      <c r="AD3" s="254"/>
      <c r="AE3" s="254"/>
      <c r="AF3" s="254"/>
      <c r="AG3" s="254"/>
      <c r="AH3" s="254"/>
      <c r="AI3" s="254"/>
      <c r="AJ3" s="28"/>
    </row>
    <row r="4" spans="1:42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18" t="str">
        <f>Překlady!$C$11&amp;" 1"</f>
        <v>Sestava 1</v>
      </c>
      <c r="C5" s="218"/>
      <c r="D5" s="218"/>
      <c r="E5" s="218"/>
      <c r="H5" s="210" t="str">
        <f>Překlady!$C$11&amp;" 2"</f>
        <v>Sestava 2</v>
      </c>
      <c r="I5" s="210"/>
      <c r="J5" s="210"/>
      <c r="K5" s="210"/>
      <c r="L5" s="210"/>
      <c r="N5" s="210" t="str">
        <f>Překlady!$C$11&amp;" 3"</f>
        <v>Sestava 3</v>
      </c>
      <c r="O5" s="210"/>
      <c r="P5" s="210"/>
      <c r="Q5" s="210"/>
      <c r="R5" s="50"/>
      <c r="S5" s="210" t="str">
        <f>Překlady!$C$11&amp;" 4"</f>
        <v>Sestava 4</v>
      </c>
      <c r="T5" s="210"/>
      <c r="U5" s="210"/>
      <c r="V5" s="210"/>
      <c r="W5" s="210"/>
    </row>
    <row r="6" spans="1:42" ht="15" customHeight="1" x14ac:dyDescent="0.25">
      <c r="B6" s="218"/>
      <c r="C6" s="218"/>
      <c r="D6" s="218"/>
      <c r="E6" s="218"/>
      <c r="H6" s="210"/>
      <c r="I6" s="210"/>
      <c r="J6" s="210"/>
      <c r="K6" s="210"/>
      <c r="L6" s="210"/>
      <c r="N6" s="210"/>
      <c r="O6" s="210"/>
      <c r="P6" s="210"/>
      <c r="Q6" s="210"/>
      <c r="R6" s="50"/>
      <c r="S6" s="210"/>
      <c r="T6" s="210"/>
      <c r="U6" s="210"/>
      <c r="V6" s="210"/>
      <c r="W6" s="210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6"/>
      <c r="C10" s="147"/>
      <c r="D10" s="147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8"/>
      <c r="AI10" s="149"/>
    </row>
    <row r="11" spans="1:42" ht="15" customHeight="1" x14ac:dyDescent="0.25">
      <c r="B11" s="246" t="str">
        <f>Překlady!C54</f>
        <v>Definujte profil:</v>
      </c>
      <c r="C11" s="247"/>
      <c r="D11" s="247"/>
      <c r="E11" s="247"/>
      <c r="Q11" s="219" t="str">
        <f>Překlady!C42</f>
        <v>povrchová</v>
      </c>
      <c r="R11" s="220"/>
      <c r="S11" s="220"/>
      <c r="T11" s="220"/>
      <c r="U11" s="220"/>
      <c r="V11" s="220"/>
      <c r="W11" s="220"/>
      <c r="X11" s="221"/>
      <c r="Z11" s="255" t="str">
        <f>Překlady!C43</f>
        <v>k zafrézování</v>
      </c>
      <c r="AA11" s="256"/>
      <c r="AB11" s="256"/>
      <c r="AC11" s="256"/>
      <c r="AD11" s="256"/>
      <c r="AE11" s="256"/>
      <c r="AF11" s="256"/>
      <c r="AG11" s="256"/>
      <c r="AH11" s="256"/>
      <c r="AI11" s="257"/>
      <c r="AJ11" s="150"/>
    </row>
    <row r="12" spans="1:42" ht="15" customHeight="1" x14ac:dyDescent="0.25">
      <c r="B12" s="246"/>
      <c r="C12" s="247"/>
      <c r="D12" s="247"/>
      <c r="E12" s="247"/>
      <c r="Q12" s="222" t="s">
        <v>134</v>
      </c>
      <c r="R12" s="223"/>
      <c r="S12" s="223"/>
      <c r="T12" s="224"/>
      <c r="U12" s="225" t="s">
        <v>135</v>
      </c>
      <c r="V12" s="223"/>
      <c r="W12" s="223"/>
      <c r="X12" s="226"/>
      <c r="Z12" s="305" t="s">
        <v>136</v>
      </c>
      <c r="AA12" s="237"/>
      <c r="AB12" s="237"/>
      <c r="AC12" s="237"/>
      <c r="AD12" s="237"/>
      <c r="AE12" s="237"/>
      <c r="AF12" s="237"/>
      <c r="AG12" s="237"/>
      <c r="AH12" s="237"/>
      <c r="AI12" s="238"/>
      <c r="AJ12" s="102"/>
    </row>
    <row r="13" spans="1:42" ht="15" customHeight="1" x14ac:dyDescent="0.3">
      <c r="B13" s="104"/>
      <c r="H13" s="151"/>
      <c r="Q13" s="227"/>
      <c r="R13" s="228"/>
      <c r="S13" s="228"/>
      <c r="T13" s="229"/>
      <c r="U13" s="236"/>
      <c r="V13" s="237"/>
      <c r="W13" s="237"/>
      <c r="X13" s="238"/>
      <c r="Z13" s="213"/>
      <c r="AA13" s="213"/>
      <c r="AB13" s="213"/>
      <c r="AC13" s="213"/>
      <c r="AD13" s="213"/>
      <c r="AE13" s="213"/>
      <c r="AF13" s="213"/>
      <c r="AG13" s="213"/>
      <c r="AH13" s="213"/>
      <c r="AI13" s="263"/>
      <c r="AJ13" s="50"/>
    </row>
    <row r="14" spans="1:42" ht="15" customHeight="1" x14ac:dyDescent="0.3">
      <c r="B14" s="104"/>
      <c r="E14" s="153"/>
      <c r="F14" s="151"/>
      <c r="G14" s="151"/>
      <c r="H14" s="151"/>
      <c r="Q14" s="230"/>
      <c r="R14" s="231"/>
      <c r="S14" s="231"/>
      <c r="T14" s="232"/>
      <c r="U14" s="239"/>
      <c r="V14" s="240"/>
      <c r="W14" s="240"/>
      <c r="X14" s="241"/>
      <c r="Z14" s="213"/>
      <c r="AA14" s="213"/>
      <c r="AB14" s="213"/>
      <c r="AC14" s="213"/>
      <c r="AD14" s="213"/>
      <c r="AE14" s="213"/>
      <c r="AF14" s="213"/>
      <c r="AG14" s="213"/>
      <c r="AH14" s="213"/>
      <c r="AI14" s="263"/>
      <c r="AJ14" s="50"/>
    </row>
    <row r="15" spans="1:42" ht="15" customHeight="1" x14ac:dyDescent="0.25">
      <c r="B15" s="248" t="str">
        <f>Překlady!C47</f>
        <v>Montáž:</v>
      </c>
      <c r="C15" s="201"/>
      <c r="D15" s="201"/>
      <c r="E15" s="201"/>
      <c r="G15" s="203"/>
      <c r="H15" s="203"/>
      <c r="I15" s="203"/>
      <c r="J15" s="203"/>
      <c r="K15" s="203"/>
      <c r="L15" s="203"/>
      <c r="M15" s="203"/>
      <c r="N15" s="203"/>
      <c r="O15" s="203"/>
      <c r="Q15" s="230"/>
      <c r="R15" s="231"/>
      <c r="S15" s="231"/>
      <c r="T15" s="232"/>
      <c r="U15" s="239"/>
      <c r="V15" s="240"/>
      <c r="W15" s="240"/>
      <c r="X15" s="241"/>
      <c r="Z15" s="213"/>
      <c r="AA15" s="213"/>
      <c r="AB15" s="213"/>
      <c r="AC15" s="213"/>
      <c r="AD15" s="213"/>
      <c r="AE15" s="213"/>
      <c r="AF15" s="213"/>
      <c r="AG15" s="213"/>
      <c r="AH15" s="213"/>
      <c r="AI15" s="263"/>
      <c r="AJ15" s="50"/>
      <c r="AN15" s="7" t="s">
        <v>137</v>
      </c>
      <c r="AO15" s="7" t="e">
        <f>CONCATENATE(VLOOKUP(G15,Překlady!C42:K45,8,0),"_",VLOOKUP(G17,Překlady!C50:D52,2,0))</f>
        <v>#N/A</v>
      </c>
      <c r="AP15" s="7" t="s">
        <v>138</v>
      </c>
    </row>
    <row r="16" spans="1:42" ht="15" customHeight="1" x14ac:dyDescent="0.25">
      <c r="B16" s="154"/>
      <c r="C16" s="17"/>
      <c r="D16" s="17"/>
      <c r="Q16" s="230"/>
      <c r="R16" s="231"/>
      <c r="S16" s="231"/>
      <c r="T16" s="232"/>
      <c r="U16" s="239"/>
      <c r="V16" s="240"/>
      <c r="W16" s="240"/>
      <c r="X16" s="241"/>
      <c r="Z16" s="213"/>
      <c r="AA16" s="213"/>
      <c r="AB16" s="213"/>
      <c r="AC16" s="213"/>
      <c r="AD16" s="213"/>
      <c r="AE16" s="213"/>
      <c r="AF16" s="213"/>
      <c r="AG16" s="213"/>
      <c r="AH16" s="213"/>
      <c r="AI16" s="263"/>
      <c r="AJ16" s="50"/>
    </row>
    <row r="17" spans="2:47" ht="15" customHeight="1" x14ac:dyDescent="0.25">
      <c r="B17" s="248" t="str">
        <f>Překlady!C48</f>
        <v>Barva:</v>
      </c>
      <c r="C17" s="201"/>
      <c r="D17" s="201"/>
      <c r="E17" s="201"/>
      <c r="G17" s="203"/>
      <c r="H17" s="203"/>
      <c r="I17" s="203"/>
      <c r="J17" s="203"/>
      <c r="K17" s="203"/>
      <c r="L17" s="203"/>
      <c r="M17" s="203"/>
      <c r="N17" s="203"/>
      <c r="O17" s="203"/>
      <c r="Q17" s="230"/>
      <c r="R17" s="231"/>
      <c r="S17" s="231"/>
      <c r="T17" s="232"/>
      <c r="U17" s="239"/>
      <c r="V17" s="240"/>
      <c r="W17" s="240"/>
      <c r="X17" s="241"/>
      <c r="Z17" s="213"/>
      <c r="AA17" s="213"/>
      <c r="AB17" s="213"/>
      <c r="AC17" s="213"/>
      <c r="AD17" s="213"/>
      <c r="AE17" s="213"/>
      <c r="AF17" s="213"/>
      <c r="AG17" s="213"/>
      <c r="AH17" s="213"/>
      <c r="AI17" s="263"/>
      <c r="AJ17" s="50"/>
    </row>
    <row r="18" spans="2:47" ht="15" customHeight="1" x14ac:dyDescent="0.25">
      <c r="B18" s="104"/>
      <c r="G18" s="307" t="str">
        <f>IFERROR((IF(VLOOKUP(G19,Produkty!B3:L50,11,0)=G17,"",Překlady!C101)),"")</f>
        <v/>
      </c>
      <c r="H18" s="307"/>
      <c r="I18" s="307"/>
      <c r="J18" s="307"/>
      <c r="K18" s="307"/>
      <c r="L18" s="307"/>
      <c r="M18" s="307"/>
      <c r="N18" s="307"/>
      <c r="O18" s="307"/>
      <c r="Q18" s="230"/>
      <c r="R18" s="231"/>
      <c r="S18" s="231"/>
      <c r="T18" s="232"/>
      <c r="U18" s="239"/>
      <c r="V18" s="240"/>
      <c r="W18" s="240"/>
      <c r="X18" s="241"/>
      <c r="Z18" s="213"/>
      <c r="AA18" s="213"/>
      <c r="AB18" s="213"/>
      <c r="AC18" s="213"/>
      <c r="AD18" s="213"/>
      <c r="AE18" s="213"/>
      <c r="AF18" s="213"/>
      <c r="AG18" s="213"/>
      <c r="AH18" s="213"/>
      <c r="AI18" s="263"/>
      <c r="AJ18" s="50"/>
    </row>
    <row r="19" spans="2:47" ht="15" customHeight="1" thickBot="1" x14ac:dyDescent="0.3">
      <c r="B19" s="248" t="str">
        <f>Překlady!C41</f>
        <v>Profil:</v>
      </c>
      <c r="C19" s="201"/>
      <c r="D19" s="201"/>
      <c r="E19" s="201"/>
      <c r="G19" s="245"/>
      <c r="H19" s="245"/>
      <c r="I19" s="245"/>
      <c r="J19" s="245"/>
      <c r="K19" s="245"/>
      <c r="L19" s="245"/>
      <c r="M19" s="245"/>
      <c r="N19" s="245"/>
      <c r="O19" s="245"/>
      <c r="Q19" s="233"/>
      <c r="R19" s="234"/>
      <c r="S19" s="234"/>
      <c r="T19" s="235"/>
      <c r="U19" s="242"/>
      <c r="V19" s="243"/>
      <c r="W19" s="243"/>
      <c r="X19" s="244"/>
      <c r="Z19" s="213"/>
      <c r="AA19" s="213"/>
      <c r="AB19" s="213"/>
      <c r="AC19" s="213"/>
      <c r="AD19" s="213"/>
      <c r="AE19" s="213"/>
      <c r="AF19" s="213"/>
      <c r="AG19" s="213"/>
      <c r="AH19" s="213"/>
      <c r="AI19" s="263"/>
      <c r="AJ19" s="50"/>
      <c r="AN19" s="7" t="s">
        <v>140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307" t="str">
        <f>IFERROR((IF(OR(AT22=$G$21,AT23=$G$21,AT24=$G$21,AT25=$G$21,AT26=$G$21),"",Překlady!C101)),"")</f>
        <v/>
      </c>
      <c r="H20" s="307"/>
      <c r="I20" s="307"/>
      <c r="J20" s="307"/>
      <c r="K20" s="307"/>
      <c r="L20" s="307"/>
      <c r="M20" s="307"/>
      <c r="N20" s="307"/>
      <c r="O20" s="307"/>
      <c r="Q20" s="264"/>
      <c r="R20" s="265"/>
      <c r="S20" s="265"/>
      <c r="T20" s="265"/>
      <c r="U20" s="265"/>
      <c r="V20" s="265"/>
      <c r="W20" s="265"/>
      <c r="X20" s="266"/>
      <c r="Z20" s="213"/>
      <c r="AA20" s="213"/>
      <c r="AB20" s="213"/>
      <c r="AC20" s="213"/>
      <c r="AD20" s="213"/>
      <c r="AE20" s="213"/>
      <c r="AF20" s="213"/>
      <c r="AG20" s="213"/>
      <c r="AH20" s="213"/>
      <c r="AI20" s="263"/>
      <c r="AJ20" s="50"/>
      <c r="AO20" s="7" t="str">
        <v>černá</v>
      </c>
    </row>
    <row r="21" spans="2:47" ht="15" customHeight="1" x14ac:dyDescent="0.25">
      <c r="B21" s="248" t="str">
        <f>Překlady!C81</f>
        <v>Délka (mm):</v>
      </c>
      <c r="C21" s="201"/>
      <c r="D21" s="201"/>
      <c r="E21" s="201"/>
      <c r="G21" s="203"/>
      <c r="H21" s="203"/>
      <c r="I21" s="203"/>
      <c r="J21" s="203"/>
      <c r="K21" s="203"/>
      <c r="L21" s="203"/>
      <c r="M21" s="203"/>
      <c r="N21" s="203"/>
      <c r="O21" s="203"/>
      <c r="Q21" s="230"/>
      <c r="R21" s="231"/>
      <c r="S21" s="231"/>
      <c r="T21" s="231"/>
      <c r="U21" s="231"/>
      <c r="V21" s="231"/>
      <c r="W21" s="231"/>
      <c r="X21" s="267"/>
      <c r="Z21" s="213"/>
      <c r="AA21" s="213"/>
      <c r="AB21" s="213"/>
      <c r="AC21" s="213"/>
      <c r="AD21" s="213"/>
      <c r="AE21" s="213"/>
      <c r="AF21" s="213"/>
      <c r="AG21" s="213"/>
      <c r="AH21" s="213"/>
      <c r="AI21" s="263"/>
      <c r="AJ21" s="50"/>
      <c r="AO21" s="7" t="str">
        <v>stříbrná</v>
      </c>
      <c r="AT21" s="17" t="s">
        <v>141</v>
      </c>
      <c r="AU21" s="7" t="e">
        <f>IF(OR(AT22=$G$21,AT23=$G$21,AT24=$G$21,AT25=$G$21),"",Překlady!D101)</f>
        <v>#N/A</v>
      </c>
    </row>
    <row r="22" spans="2:47" ht="15" customHeight="1" x14ac:dyDescent="0.25">
      <c r="B22" s="154"/>
      <c r="C22" s="17"/>
      <c r="D22" s="17"/>
      <c r="Q22" s="230"/>
      <c r="R22" s="231"/>
      <c r="S22" s="231"/>
      <c r="T22" s="231"/>
      <c r="U22" s="231"/>
      <c r="V22" s="231"/>
      <c r="W22" s="231"/>
      <c r="X22" s="267"/>
      <c r="Z22" s="213"/>
      <c r="AA22" s="213"/>
      <c r="AB22" s="213"/>
      <c r="AC22" s="213"/>
      <c r="AD22" s="213"/>
      <c r="AE22" s="213"/>
      <c r="AF22" s="213"/>
      <c r="AG22" s="213"/>
      <c r="AH22" s="213"/>
      <c r="AI22" s="263"/>
      <c r="AJ22" s="50"/>
      <c r="AP22" s="17" t="s">
        <v>142</v>
      </c>
      <c r="AQ22" s="7" t="e">
        <f>VLOOKUP(CONCATENATE(G19,"_",G21),Produkty!A3:C50,3,0)</f>
        <v>#N/A</v>
      </c>
      <c r="AS22" s="7" t="s">
        <v>143</v>
      </c>
      <c r="AT22" s="7" t="e">
        <f>VLOOKUP($G$19,Produkty!$B$3:$X$50,20,0)</f>
        <v>#N/A</v>
      </c>
    </row>
    <row r="23" spans="2:47" ht="15" customHeight="1" x14ac:dyDescent="0.25">
      <c r="B23" s="248" t="str">
        <f>Překlady!C82</f>
        <v>Množství (ks):</v>
      </c>
      <c r="C23" s="201"/>
      <c r="D23" s="201"/>
      <c r="E23" s="201"/>
      <c r="G23" s="203"/>
      <c r="H23" s="203"/>
      <c r="I23" s="203"/>
      <c r="J23" s="203"/>
      <c r="K23" s="203"/>
      <c r="L23" s="203"/>
      <c r="M23" s="203"/>
      <c r="N23" s="203"/>
      <c r="O23" s="203"/>
      <c r="Q23" s="230"/>
      <c r="R23" s="231"/>
      <c r="S23" s="231"/>
      <c r="T23" s="231"/>
      <c r="U23" s="231"/>
      <c r="V23" s="231"/>
      <c r="W23" s="231"/>
      <c r="X23" s="267"/>
      <c r="Z23" s="213"/>
      <c r="AA23" s="213"/>
      <c r="AB23" s="213"/>
      <c r="AC23" s="213"/>
      <c r="AD23" s="213"/>
      <c r="AE23" s="213"/>
      <c r="AF23" s="213"/>
      <c r="AG23" s="213"/>
      <c r="AH23" s="213"/>
      <c r="AI23" s="263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54"/>
      <c r="C24" s="17"/>
      <c r="D24" s="17"/>
      <c r="G24" s="307"/>
      <c r="H24" s="307"/>
      <c r="I24" s="307"/>
      <c r="J24" s="307"/>
      <c r="K24" s="307"/>
      <c r="L24" s="307"/>
      <c r="M24" s="307"/>
      <c r="N24" s="307"/>
      <c r="O24" s="307"/>
      <c r="Q24" s="230"/>
      <c r="R24" s="231"/>
      <c r="S24" s="231"/>
      <c r="T24" s="231"/>
      <c r="U24" s="231"/>
      <c r="V24" s="231"/>
      <c r="W24" s="231"/>
      <c r="X24" s="267"/>
      <c r="Z24" s="213"/>
      <c r="AA24" s="213"/>
      <c r="AB24" s="213"/>
      <c r="AC24" s="213"/>
      <c r="AD24" s="213"/>
      <c r="AE24" s="213"/>
      <c r="AF24" s="213"/>
      <c r="AG24" s="213"/>
      <c r="AH24" s="213"/>
      <c r="AI24" s="263"/>
      <c r="AJ24" s="50"/>
      <c r="AN24" s="7" t="s">
        <v>144</v>
      </c>
      <c r="AT24" s="7" t="e">
        <f>VLOOKUP($G$19,Produkty!$B$3:$X$50,22,0)</f>
        <v>#N/A</v>
      </c>
    </row>
    <row r="25" spans="2:47" ht="15" customHeight="1" x14ac:dyDescent="0.25">
      <c r="B25" s="249" t="str">
        <f>Překlady!C63</f>
        <v>Koncovka:</v>
      </c>
      <c r="C25" s="250"/>
      <c r="D25" s="250"/>
      <c r="E25" s="250"/>
      <c r="G25" s="203"/>
      <c r="H25" s="203"/>
      <c r="I25" s="203"/>
      <c r="J25" s="203"/>
      <c r="K25" s="203"/>
      <c r="L25" s="203"/>
      <c r="M25" s="203"/>
      <c r="N25" s="203"/>
      <c r="O25" s="203"/>
      <c r="Q25" s="230"/>
      <c r="R25" s="231"/>
      <c r="S25" s="231"/>
      <c r="T25" s="231"/>
      <c r="U25" s="231"/>
      <c r="V25" s="231"/>
      <c r="W25" s="231"/>
      <c r="X25" s="267"/>
      <c r="Z25" s="213"/>
      <c r="AA25" s="213"/>
      <c r="AB25" s="213"/>
      <c r="AC25" s="213"/>
      <c r="AD25" s="213"/>
      <c r="AE25" s="213"/>
      <c r="AF25" s="213"/>
      <c r="AG25" s="213"/>
      <c r="AH25" s="213"/>
      <c r="AI25" s="263"/>
      <c r="AJ25" s="50"/>
      <c r="AN25" s="7" t="e">
        <f>VLOOKUP(AQ22,Produkty!C3:O50,13,0)</f>
        <v>#N/A</v>
      </c>
      <c r="AP25" s="17" t="s">
        <v>146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8"/>
      <c r="C26" s="159"/>
      <c r="D26" s="159"/>
      <c r="E26" s="153"/>
      <c r="G26" s="50"/>
      <c r="I26" s="50"/>
      <c r="K26" s="50"/>
      <c r="L26" s="50"/>
      <c r="M26" s="50"/>
      <c r="Q26" s="233"/>
      <c r="R26" s="234"/>
      <c r="S26" s="234"/>
      <c r="T26" s="234"/>
      <c r="U26" s="234"/>
      <c r="V26" s="234"/>
      <c r="W26" s="234"/>
      <c r="X26" s="268"/>
      <c r="Z26" s="213"/>
      <c r="AA26" s="213"/>
      <c r="AB26" s="213"/>
      <c r="AC26" s="213"/>
      <c r="AD26" s="213"/>
      <c r="AE26" s="213"/>
      <c r="AF26" s="213"/>
      <c r="AG26" s="213"/>
      <c r="AH26" s="213"/>
      <c r="AI26" s="263"/>
      <c r="AJ26" s="50"/>
    </row>
    <row r="27" spans="2:47" ht="15" customHeight="1" thickBot="1" x14ac:dyDescent="0.3">
      <c r="B27" s="249" t="str">
        <f>Překlady!C64</f>
        <v>Množství koncovek (páry):</v>
      </c>
      <c r="C27" s="250"/>
      <c r="D27" s="250"/>
      <c r="E27" s="250"/>
      <c r="G27" s="203"/>
      <c r="H27" s="203"/>
      <c r="I27" s="203"/>
      <c r="J27" s="203"/>
      <c r="K27" s="203"/>
      <c r="L27" s="203"/>
      <c r="M27" s="203"/>
      <c r="N27" s="203"/>
      <c r="O27" s="203"/>
      <c r="AA27" s="74"/>
      <c r="AB27" s="74"/>
      <c r="AC27" s="74"/>
      <c r="AD27" s="74"/>
      <c r="AE27" s="74"/>
      <c r="AF27" s="74"/>
      <c r="AG27" s="74"/>
      <c r="AI27" s="97"/>
      <c r="AN27" s="7" t="s">
        <v>147</v>
      </c>
      <c r="AO27" s="7" t="str">
        <f>IFERROR((VLOOKUP(VLOOKUP(AQ22,Produkty!C3:Q50,15,0),Produkty!A81:B99,2,0)),"")</f>
        <v/>
      </c>
      <c r="AP27" s="17" t="s">
        <v>148</v>
      </c>
      <c r="AQ27" s="7" t="e">
        <f>VLOOKUP(G25,Produkty!B80:C99,2,0)</f>
        <v>#N/A</v>
      </c>
      <c r="AS27" s="17" t="s">
        <v>149</v>
      </c>
      <c r="AT27" s="7" t="e">
        <f>VLOOKUP(G31,Produkty!B55:R78,14,0)</f>
        <v>#N/A</v>
      </c>
    </row>
    <row r="28" spans="2:47" ht="15" customHeight="1" x14ac:dyDescent="0.25">
      <c r="B28" s="104"/>
      <c r="Q28" s="219" t="str">
        <f>Překlady!C44</f>
        <v>rohová</v>
      </c>
      <c r="R28" s="220"/>
      <c r="S28" s="220"/>
      <c r="T28" s="220"/>
      <c r="U28" s="220"/>
      <c r="V28" s="220"/>
      <c r="W28" s="220"/>
      <c r="X28" s="221"/>
      <c r="Z28" s="259" t="str">
        <f>Překlady!C43</f>
        <v>k zafrézování</v>
      </c>
      <c r="AA28" s="259"/>
      <c r="AB28" s="259"/>
      <c r="AC28" s="259"/>
      <c r="AD28" s="259"/>
      <c r="AE28" s="259"/>
      <c r="AF28" s="259"/>
      <c r="AG28" s="259"/>
      <c r="AH28" s="259"/>
      <c r="AI28" s="260"/>
      <c r="AJ28" s="150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" customHeight="1" x14ac:dyDescent="0.25">
      <c r="B29" s="104"/>
      <c r="G29" s="258" t="str">
        <f>IF(ISNUMBER(G27)=TRUE,Překlady!C99,"")</f>
        <v/>
      </c>
      <c r="H29" s="258"/>
      <c r="I29" s="258"/>
      <c r="J29" s="258"/>
      <c r="K29" s="258"/>
      <c r="L29" s="258"/>
      <c r="M29" s="258"/>
      <c r="N29" s="258"/>
      <c r="O29" s="258"/>
      <c r="Q29" s="222" t="s">
        <v>150</v>
      </c>
      <c r="R29" s="223"/>
      <c r="S29" s="223"/>
      <c r="T29" s="224"/>
      <c r="U29" s="225" t="s">
        <v>151</v>
      </c>
      <c r="V29" s="223"/>
      <c r="W29" s="223"/>
      <c r="X29" s="226"/>
      <c r="Z29" s="261" t="s">
        <v>152</v>
      </c>
      <c r="AA29" s="261"/>
      <c r="AB29" s="261"/>
      <c r="AC29" s="261"/>
      <c r="AD29" s="261"/>
      <c r="AE29" s="261"/>
      <c r="AF29" s="261"/>
      <c r="AG29" s="261"/>
      <c r="AH29" s="261"/>
      <c r="AI29" s="262"/>
      <c r="AJ29" s="102"/>
      <c r="AP29" s="270" t="s">
        <v>153</v>
      </c>
      <c r="AQ29" s="160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61"/>
      <c r="D30" s="162"/>
      <c r="G30" s="231"/>
      <c r="H30" s="231"/>
      <c r="I30" s="231"/>
      <c r="J30" s="231"/>
      <c r="K30" s="231"/>
      <c r="L30" s="231"/>
      <c r="M30" s="231"/>
      <c r="N30" s="231"/>
      <c r="O30" s="231"/>
      <c r="Q30" s="305"/>
      <c r="R30" s="237"/>
      <c r="S30" s="237"/>
      <c r="T30" s="308"/>
      <c r="U30" s="314"/>
      <c r="V30" s="228"/>
      <c r="W30" s="228"/>
      <c r="X30" s="315"/>
      <c r="Z30" s="213"/>
      <c r="AA30" s="213"/>
      <c r="AB30" s="213"/>
      <c r="AC30" s="213"/>
      <c r="AD30" s="213"/>
      <c r="AE30" s="213"/>
      <c r="AF30" s="213"/>
      <c r="AG30" s="213"/>
      <c r="AH30" s="213"/>
      <c r="AI30" s="263"/>
      <c r="AJ30" s="50"/>
      <c r="AP30" s="270"/>
      <c r="AQ30" s="160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249" t="str">
        <f>Překlady!C55</f>
        <v>Krycí lišta:</v>
      </c>
      <c r="C31" s="250"/>
      <c r="D31" s="250"/>
      <c r="E31" s="250"/>
      <c r="G31" s="269"/>
      <c r="H31" s="269"/>
      <c r="I31" s="269"/>
      <c r="J31" s="269"/>
      <c r="K31" s="269"/>
      <c r="L31" s="269"/>
      <c r="M31" s="269"/>
      <c r="N31" s="269"/>
      <c r="O31" s="269"/>
      <c r="Q31" s="309"/>
      <c r="R31" s="240"/>
      <c r="S31" s="240"/>
      <c r="T31" s="310"/>
      <c r="U31" s="316"/>
      <c r="V31" s="231"/>
      <c r="W31" s="231"/>
      <c r="X31" s="267"/>
      <c r="Z31" s="213"/>
      <c r="AA31" s="213"/>
      <c r="AB31" s="213"/>
      <c r="AC31" s="213"/>
      <c r="AD31" s="213"/>
      <c r="AE31" s="213"/>
      <c r="AF31" s="213"/>
      <c r="AG31" s="213"/>
      <c r="AH31" s="213"/>
      <c r="AI31" s="263"/>
      <c r="AJ31" s="50"/>
    </row>
    <row r="32" spans="2:47" ht="15" customHeight="1" x14ac:dyDescent="0.25">
      <c r="B32" s="104"/>
      <c r="G32" s="269"/>
      <c r="H32" s="269"/>
      <c r="I32" s="269"/>
      <c r="J32" s="269"/>
      <c r="K32" s="269"/>
      <c r="L32" s="269"/>
      <c r="M32" s="269"/>
      <c r="N32" s="269"/>
      <c r="O32" s="269"/>
      <c r="Q32" s="309"/>
      <c r="R32" s="240"/>
      <c r="S32" s="240"/>
      <c r="T32" s="310"/>
      <c r="U32" s="316"/>
      <c r="V32" s="231"/>
      <c r="W32" s="231"/>
      <c r="X32" s="267"/>
      <c r="Z32" s="213"/>
      <c r="AA32" s="213"/>
      <c r="AB32" s="213"/>
      <c r="AC32" s="213"/>
      <c r="AD32" s="213"/>
      <c r="AE32" s="213"/>
      <c r="AF32" s="213"/>
      <c r="AG32" s="213"/>
      <c r="AH32" s="213"/>
      <c r="AI32" s="263"/>
      <c r="AJ32" s="50"/>
    </row>
    <row r="33" spans="2:40" ht="15" customHeight="1" x14ac:dyDescent="0.25">
      <c r="B33" s="104"/>
      <c r="Q33" s="309"/>
      <c r="R33" s="240"/>
      <c r="S33" s="240"/>
      <c r="T33" s="310"/>
      <c r="U33" s="316"/>
      <c r="V33" s="231"/>
      <c r="W33" s="231"/>
      <c r="X33" s="267"/>
      <c r="Z33" s="213"/>
      <c r="AA33" s="213"/>
      <c r="AB33" s="213"/>
      <c r="AC33" s="213"/>
      <c r="AD33" s="213"/>
      <c r="AE33" s="213"/>
      <c r="AF33" s="213"/>
      <c r="AG33" s="213"/>
      <c r="AH33" s="213"/>
      <c r="AI33" s="263"/>
      <c r="AJ33" s="50"/>
    </row>
    <row r="34" spans="2:40" ht="15" customHeight="1" x14ac:dyDescent="0.25">
      <c r="B34" s="249" t="str">
        <f>Překlady!C81</f>
        <v>Délka (mm):</v>
      </c>
      <c r="C34" s="250"/>
      <c r="D34" s="250"/>
      <c r="E34" s="250"/>
      <c r="G34" s="203"/>
      <c r="H34" s="203"/>
      <c r="I34" s="203"/>
      <c r="J34" s="203"/>
      <c r="K34" s="203"/>
      <c r="L34" s="203"/>
      <c r="M34" s="203"/>
      <c r="N34" s="203"/>
      <c r="O34" s="203"/>
      <c r="Q34" s="309"/>
      <c r="R34" s="240"/>
      <c r="S34" s="240"/>
      <c r="T34" s="310"/>
      <c r="U34" s="316"/>
      <c r="V34" s="231"/>
      <c r="W34" s="231"/>
      <c r="X34" s="267"/>
      <c r="Z34" s="213"/>
      <c r="AA34" s="213"/>
      <c r="AB34" s="213"/>
      <c r="AC34" s="213"/>
      <c r="AD34" s="213"/>
      <c r="AE34" s="213"/>
      <c r="AF34" s="213"/>
      <c r="AG34" s="213"/>
      <c r="AH34" s="213"/>
      <c r="AI34" s="263"/>
      <c r="AJ34" s="50"/>
    </row>
    <row r="35" spans="2:40" ht="15" customHeight="1" x14ac:dyDescent="0.25">
      <c r="B35" s="158"/>
      <c r="C35" s="159"/>
      <c r="D35" s="159"/>
      <c r="F35" s="50"/>
      <c r="G35" s="50"/>
      <c r="H35" s="50"/>
      <c r="Q35" s="309"/>
      <c r="R35" s="240"/>
      <c r="S35" s="240"/>
      <c r="T35" s="310"/>
      <c r="U35" s="316"/>
      <c r="V35" s="231"/>
      <c r="W35" s="231"/>
      <c r="X35" s="267"/>
      <c r="Z35" s="213"/>
      <c r="AA35" s="213"/>
      <c r="AB35" s="213"/>
      <c r="AC35" s="213"/>
      <c r="AD35" s="213"/>
      <c r="AE35" s="213"/>
      <c r="AF35" s="213"/>
      <c r="AG35" s="213"/>
      <c r="AH35" s="213"/>
      <c r="AI35" s="263"/>
      <c r="AJ35" s="50"/>
    </row>
    <row r="36" spans="2:40" ht="15" customHeight="1" x14ac:dyDescent="0.25">
      <c r="B36" s="248" t="str">
        <f>Překlady!C82</f>
        <v>Množství (ks):</v>
      </c>
      <c r="C36" s="201"/>
      <c r="D36" s="201"/>
      <c r="E36" s="201"/>
      <c r="G36" s="203"/>
      <c r="H36" s="203"/>
      <c r="I36" s="203"/>
      <c r="J36" s="203"/>
      <c r="K36" s="203"/>
      <c r="L36" s="203"/>
      <c r="M36" s="203"/>
      <c r="N36" s="203"/>
      <c r="O36" s="203"/>
      <c r="Q36" s="311"/>
      <c r="R36" s="312"/>
      <c r="S36" s="312"/>
      <c r="T36" s="313"/>
      <c r="U36" s="317"/>
      <c r="V36" s="318"/>
      <c r="W36" s="318"/>
      <c r="X36" s="319"/>
      <c r="Z36" s="213"/>
      <c r="AA36" s="213"/>
      <c r="AB36" s="213"/>
      <c r="AC36" s="213"/>
      <c r="AD36" s="213"/>
      <c r="AE36" s="213"/>
      <c r="AF36" s="213"/>
      <c r="AG36" s="213"/>
      <c r="AH36" s="213"/>
      <c r="AI36" s="263"/>
      <c r="AJ36" s="50"/>
      <c r="AK36" s="140" t="s">
        <v>42</v>
      </c>
      <c r="AL36" s="7" t="str">
        <f>Překlady!$C$13</f>
        <v>rovný</v>
      </c>
      <c r="AM36" s="7">
        <v>1</v>
      </c>
    </row>
    <row r="37" spans="2:40" ht="15" customHeight="1" x14ac:dyDescent="0.25">
      <c r="B37" s="104"/>
      <c r="Q37" s="227"/>
      <c r="R37" s="228"/>
      <c r="S37" s="228"/>
      <c r="T37" s="228"/>
      <c r="U37" s="228"/>
      <c r="V37" s="228"/>
      <c r="W37" s="228"/>
      <c r="X37" s="315"/>
      <c r="Z37" s="261"/>
      <c r="AA37" s="261"/>
      <c r="AB37" s="261"/>
      <c r="AC37" s="261"/>
      <c r="AD37" s="261"/>
      <c r="AE37" s="261"/>
      <c r="AF37" s="261"/>
      <c r="AG37" s="261"/>
      <c r="AH37" s="261"/>
      <c r="AI37" s="262"/>
      <c r="AJ37" s="102"/>
      <c r="AL37" s="7" t="str">
        <f>Překlady!$C$14</f>
        <v>rohový</v>
      </c>
      <c r="AM37" s="7">
        <v>2</v>
      </c>
    </row>
    <row r="38" spans="2:40" ht="15" customHeight="1" x14ac:dyDescent="0.25">
      <c r="B38" s="248" t="str">
        <f>Překlady!C109</f>
        <v>Montáž profilu:</v>
      </c>
      <c r="C38" s="201"/>
      <c r="D38" s="201"/>
      <c r="E38" s="201" t="str">
        <f>Překlady!C109</f>
        <v>Montáž profilu:</v>
      </c>
      <c r="G38" s="203"/>
      <c r="H38" s="203"/>
      <c r="I38" s="203"/>
      <c r="J38" s="203"/>
      <c r="K38" s="203"/>
      <c r="L38" s="203"/>
      <c r="M38" s="203"/>
      <c r="N38" s="203"/>
      <c r="O38" s="203"/>
      <c r="Q38" s="230"/>
      <c r="R38" s="231"/>
      <c r="S38" s="231"/>
      <c r="T38" s="231"/>
      <c r="U38" s="231"/>
      <c r="V38" s="231"/>
      <c r="W38" s="231"/>
      <c r="X38" s="267"/>
      <c r="Z38" s="261"/>
      <c r="AA38" s="261"/>
      <c r="AB38" s="261"/>
      <c r="AC38" s="261"/>
      <c r="AD38" s="261"/>
      <c r="AE38" s="261"/>
      <c r="AF38" s="261"/>
      <c r="AG38" s="261"/>
      <c r="AH38" s="261"/>
      <c r="AI38" s="262"/>
      <c r="AJ38" s="102"/>
      <c r="AK38" s="140" t="s">
        <v>778</v>
      </c>
      <c r="AL38" s="7" t="str">
        <f>Překlady!$C$15</f>
        <v>ano</v>
      </c>
      <c r="AM38" s="7">
        <v>3</v>
      </c>
    </row>
    <row r="39" spans="2:40" ht="15" customHeight="1" x14ac:dyDescent="0.25">
      <c r="B39" s="104"/>
      <c r="Q39" s="230"/>
      <c r="R39" s="231"/>
      <c r="S39" s="231"/>
      <c r="T39" s="231"/>
      <c r="U39" s="231"/>
      <c r="V39" s="231"/>
      <c r="W39" s="231"/>
      <c r="X39" s="267"/>
      <c r="Z39" s="261"/>
      <c r="AA39" s="261"/>
      <c r="AB39" s="261"/>
      <c r="AC39" s="261"/>
      <c r="AD39" s="261"/>
      <c r="AE39" s="261"/>
      <c r="AF39" s="261"/>
      <c r="AG39" s="261"/>
      <c r="AH39" s="261"/>
      <c r="AI39" s="262"/>
      <c r="AJ39" s="102"/>
      <c r="AL39" s="7" t="str">
        <f>Překlady!$C$16</f>
        <v>ne</v>
      </c>
      <c r="AM39" s="7">
        <v>4</v>
      </c>
    </row>
    <row r="40" spans="2:40" ht="15" customHeight="1" x14ac:dyDescent="0.25">
      <c r="B40" s="163"/>
      <c r="C40" s="164"/>
      <c r="D40" s="164"/>
      <c r="E40" s="164"/>
      <c r="Q40" s="230"/>
      <c r="R40" s="231"/>
      <c r="S40" s="231"/>
      <c r="T40" s="231"/>
      <c r="U40" s="231"/>
      <c r="V40" s="231"/>
      <c r="W40" s="231"/>
      <c r="X40" s="267"/>
      <c r="Z40" s="261"/>
      <c r="AA40" s="261"/>
      <c r="AB40" s="261"/>
      <c r="AC40" s="261"/>
      <c r="AD40" s="261"/>
      <c r="AE40" s="261"/>
      <c r="AF40" s="261"/>
      <c r="AG40" s="261"/>
      <c r="AH40" s="261"/>
      <c r="AI40" s="262"/>
      <c r="AJ40" s="102"/>
    </row>
    <row r="41" spans="2:40" ht="15" customHeight="1" x14ac:dyDescent="0.25">
      <c r="B41" s="104"/>
      <c r="Q41" s="230"/>
      <c r="R41" s="231"/>
      <c r="S41" s="231"/>
      <c r="T41" s="231"/>
      <c r="U41" s="231"/>
      <c r="V41" s="231"/>
      <c r="W41" s="231"/>
      <c r="X41" s="267"/>
      <c r="Z41" s="261"/>
      <c r="AA41" s="261"/>
      <c r="AB41" s="261"/>
      <c r="AC41" s="261"/>
      <c r="AD41" s="261"/>
      <c r="AE41" s="261"/>
      <c r="AF41" s="261"/>
      <c r="AG41" s="261"/>
      <c r="AH41" s="261"/>
      <c r="AI41" s="262"/>
      <c r="AJ41" s="102"/>
    </row>
    <row r="42" spans="2:40" ht="15" customHeight="1" x14ac:dyDescent="0.25">
      <c r="B42" s="104"/>
      <c r="Q42" s="230"/>
      <c r="R42" s="231"/>
      <c r="S42" s="231"/>
      <c r="T42" s="231"/>
      <c r="U42" s="231"/>
      <c r="V42" s="231"/>
      <c r="W42" s="231"/>
      <c r="X42" s="267"/>
      <c r="Z42" s="261"/>
      <c r="AA42" s="261"/>
      <c r="AB42" s="261"/>
      <c r="AC42" s="261"/>
      <c r="AD42" s="261"/>
      <c r="AE42" s="261"/>
      <c r="AF42" s="261"/>
      <c r="AG42" s="261"/>
      <c r="AH42" s="261"/>
      <c r="AI42" s="262"/>
      <c r="AJ42" s="102"/>
      <c r="AN42" s="17"/>
    </row>
    <row r="43" spans="2:40" ht="15" customHeight="1" x14ac:dyDescent="0.25">
      <c r="B43" s="104"/>
      <c r="Q43" s="230"/>
      <c r="R43" s="231"/>
      <c r="S43" s="231"/>
      <c r="T43" s="231"/>
      <c r="U43" s="231"/>
      <c r="V43" s="231"/>
      <c r="W43" s="231"/>
      <c r="X43" s="267"/>
      <c r="Z43" s="261"/>
      <c r="AA43" s="261"/>
      <c r="AB43" s="261"/>
      <c r="AC43" s="261"/>
      <c r="AD43" s="261"/>
      <c r="AE43" s="261"/>
      <c r="AF43" s="261"/>
      <c r="AG43" s="261"/>
      <c r="AH43" s="261"/>
      <c r="AI43" s="262"/>
      <c r="AJ43" s="102"/>
      <c r="AN43" s="17"/>
    </row>
    <row r="44" spans="2:40" ht="15" customHeight="1" thickBot="1" x14ac:dyDescent="0.3">
      <c r="B44" s="104"/>
      <c r="Q44" s="233"/>
      <c r="R44" s="234"/>
      <c r="S44" s="234"/>
      <c r="T44" s="234"/>
      <c r="U44" s="234"/>
      <c r="V44" s="234"/>
      <c r="W44" s="234"/>
      <c r="X44" s="268"/>
      <c r="Z44" s="261"/>
      <c r="AA44" s="261"/>
      <c r="AB44" s="261"/>
      <c r="AC44" s="261"/>
      <c r="AD44" s="261"/>
      <c r="AE44" s="261"/>
      <c r="AF44" s="261"/>
      <c r="AG44" s="261"/>
      <c r="AH44" s="261"/>
      <c r="AI44" s="262"/>
      <c r="AJ44" s="102"/>
      <c r="AN44" s="17"/>
    </row>
    <row r="45" spans="2:40" ht="15" customHeight="1" x14ac:dyDescent="0.25">
      <c r="B45" s="104"/>
      <c r="Z45" s="261"/>
      <c r="AA45" s="261"/>
      <c r="AB45" s="261"/>
      <c r="AC45" s="261"/>
      <c r="AD45" s="261"/>
      <c r="AE45" s="261"/>
      <c r="AF45" s="261"/>
      <c r="AG45" s="261"/>
      <c r="AH45" s="261"/>
      <c r="AI45" s="262"/>
      <c r="AJ45" s="102"/>
      <c r="AL45" s="17"/>
    </row>
    <row r="46" spans="2:40" ht="15" customHeight="1" x14ac:dyDescent="0.25">
      <c r="B46" s="104"/>
      <c r="Z46" s="261"/>
      <c r="AA46" s="261"/>
      <c r="AB46" s="261"/>
      <c r="AC46" s="261"/>
      <c r="AD46" s="261"/>
      <c r="AE46" s="261"/>
      <c r="AF46" s="261"/>
      <c r="AG46" s="261"/>
      <c r="AH46" s="261"/>
      <c r="AI46" s="262"/>
      <c r="AJ46" s="102"/>
      <c r="AK46" s="141"/>
      <c r="AL46" s="18"/>
    </row>
    <row r="47" spans="2:40" ht="15" customHeight="1" x14ac:dyDescent="0.25">
      <c r="B47" s="104"/>
      <c r="Z47" s="261"/>
      <c r="AA47" s="261"/>
      <c r="AB47" s="261"/>
      <c r="AC47" s="261"/>
      <c r="AD47" s="261"/>
      <c r="AE47" s="261"/>
      <c r="AF47" s="261"/>
      <c r="AG47" s="261"/>
      <c r="AH47" s="261"/>
      <c r="AI47" s="262"/>
      <c r="AJ47" s="102"/>
      <c r="AK47" s="141"/>
      <c r="AL47" s="18"/>
    </row>
    <row r="48" spans="2:40" ht="15" customHeight="1" x14ac:dyDescent="0.25">
      <c r="B48" s="104"/>
      <c r="Z48" s="261"/>
      <c r="AA48" s="261"/>
      <c r="AB48" s="261"/>
      <c r="AC48" s="261"/>
      <c r="AD48" s="261"/>
      <c r="AE48" s="261"/>
      <c r="AF48" s="261"/>
      <c r="AG48" s="261"/>
      <c r="AH48" s="261"/>
      <c r="AI48" s="262"/>
      <c r="AJ48" s="102"/>
      <c r="AL48" s="17"/>
    </row>
    <row r="49" spans="2:84" ht="15" customHeight="1" x14ac:dyDescent="0.25">
      <c r="B49" s="104"/>
      <c r="Z49" s="261"/>
      <c r="AA49" s="261"/>
      <c r="AB49" s="261"/>
      <c r="AC49" s="261"/>
      <c r="AD49" s="261"/>
      <c r="AE49" s="261"/>
      <c r="AF49" s="261"/>
      <c r="AG49" s="261"/>
      <c r="AH49" s="261"/>
      <c r="AI49" s="262"/>
      <c r="AJ49" s="102"/>
      <c r="AL49" s="17"/>
    </row>
    <row r="50" spans="2:84" ht="15" customHeight="1" x14ac:dyDescent="0.25">
      <c r="B50" s="104"/>
      <c r="Z50" s="261"/>
      <c r="AA50" s="261"/>
      <c r="AB50" s="261"/>
      <c r="AC50" s="261"/>
      <c r="AD50" s="261"/>
      <c r="AE50" s="261"/>
      <c r="AF50" s="261"/>
      <c r="AG50" s="261"/>
      <c r="AH50" s="261"/>
      <c r="AI50" s="262"/>
      <c r="AJ50" s="102"/>
      <c r="AL50" s="17"/>
    </row>
    <row r="51" spans="2:84" ht="15" customHeight="1" x14ac:dyDescent="0.25">
      <c r="B51" s="104"/>
      <c r="N51" s="50"/>
      <c r="Z51" s="261"/>
      <c r="AA51" s="261"/>
      <c r="AB51" s="261"/>
      <c r="AC51" s="261"/>
      <c r="AD51" s="261"/>
      <c r="AE51" s="261"/>
      <c r="AF51" s="261"/>
      <c r="AG51" s="261"/>
      <c r="AH51" s="261"/>
      <c r="AI51" s="262"/>
      <c r="AJ51" s="102"/>
      <c r="AL51" s="17"/>
    </row>
    <row r="52" spans="2:84" ht="15" customHeight="1" x14ac:dyDescent="0.25">
      <c r="B52" s="104"/>
      <c r="N52" s="50"/>
      <c r="Z52" s="261"/>
      <c r="AA52" s="261"/>
      <c r="AB52" s="261"/>
      <c r="AC52" s="261"/>
      <c r="AD52" s="261"/>
      <c r="AE52" s="261"/>
      <c r="AF52" s="261"/>
      <c r="AG52" s="261"/>
      <c r="AH52" s="261"/>
      <c r="AI52" s="262"/>
      <c r="AJ52" s="102"/>
      <c r="AL52" s="17"/>
    </row>
    <row r="53" spans="2:84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6"/>
      <c r="M53" s="156"/>
      <c r="N53" s="156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272"/>
      <c r="AA53" s="272"/>
      <c r="AB53" s="272"/>
      <c r="AC53" s="272"/>
      <c r="AD53" s="272"/>
      <c r="AE53" s="272"/>
      <c r="AF53" s="272"/>
      <c r="AG53" s="272"/>
      <c r="AH53" s="272"/>
      <c r="AI53" s="273"/>
      <c r="AJ53" s="102"/>
      <c r="AL53" s="17"/>
    </row>
    <row r="54" spans="2:84" ht="7.5" customHeight="1" x14ac:dyDescent="0.25">
      <c r="AL54" s="17"/>
    </row>
    <row r="55" spans="2:84" ht="7.5" customHeight="1" thickBot="1" x14ac:dyDescent="0.3">
      <c r="B55" s="165"/>
      <c r="C55" s="165"/>
      <c r="D55" s="165"/>
      <c r="E55" s="165"/>
      <c r="H55" s="165"/>
      <c r="I55" s="165"/>
      <c r="J55" s="165"/>
      <c r="K55" s="165"/>
      <c r="N55" s="165"/>
      <c r="O55" s="165"/>
      <c r="P55" s="165"/>
      <c r="Q55" s="165"/>
      <c r="R55" s="50"/>
      <c r="T55" s="165"/>
      <c r="U55" s="165"/>
      <c r="V55" s="165"/>
      <c r="W55" s="165"/>
    </row>
    <row r="56" spans="2:84" ht="15" customHeight="1" x14ac:dyDescent="0.25">
      <c r="B56" s="166"/>
      <c r="C56" s="167"/>
      <c r="D56" s="167"/>
      <c r="E56" s="167"/>
      <c r="F56" s="93"/>
      <c r="G56" s="93"/>
      <c r="H56" s="167"/>
      <c r="I56" s="167"/>
      <c r="J56" s="167"/>
      <c r="K56" s="167"/>
      <c r="L56" s="93"/>
      <c r="M56" s="93"/>
      <c r="N56" s="167"/>
      <c r="O56" s="167"/>
      <c r="P56" s="167"/>
      <c r="Q56" s="167"/>
      <c r="R56" s="157"/>
      <c r="S56" s="93"/>
      <c r="T56" s="167"/>
      <c r="U56" s="167"/>
      <c r="V56" s="167"/>
      <c r="W56" s="167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84" ht="17.25" customHeight="1" x14ac:dyDescent="0.25">
      <c r="B57" s="283" t="str">
        <f>Překlady!C53</f>
        <v>Definujte tvar sestavy:</v>
      </c>
      <c r="C57" s="284"/>
      <c r="D57" s="284"/>
      <c r="E57" s="284"/>
      <c r="F57" s="153"/>
      <c r="G57" s="153"/>
      <c r="H57" s="153"/>
      <c r="I57" s="153"/>
      <c r="J57" s="50"/>
      <c r="K57" s="50"/>
      <c r="N57" s="50"/>
      <c r="O57" s="50"/>
      <c r="P57" s="50"/>
      <c r="Q57" s="50"/>
      <c r="R57" s="50"/>
      <c r="S57" s="212" t="str">
        <f>IF(AL63=TRUE,Překlady!C12,"")</f>
        <v/>
      </c>
      <c r="T57" s="212"/>
      <c r="U57" s="212"/>
      <c r="V57" s="50"/>
      <c r="W57" s="50"/>
      <c r="X57" s="50"/>
      <c r="Y57" s="271"/>
      <c r="AI57" s="97"/>
      <c r="BJ57" s="17" t="s">
        <v>5799</v>
      </c>
      <c r="BK57" s="7" t="str">
        <f>IF(OR(G21=I72,G21=I73,G21=O72,G21=O73),"ano","ne")</f>
        <v>ano</v>
      </c>
      <c r="BU57" s="169" t="s">
        <v>5816</v>
      </c>
      <c r="BV57" s="169"/>
    </row>
    <row r="58" spans="2:84" ht="18" customHeight="1" x14ac:dyDescent="0.25">
      <c r="B58" s="283"/>
      <c r="C58" s="284"/>
      <c r="D58" s="284"/>
      <c r="E58" s="284"/>
      <c r="F58" s="153"/>
      <c r="G58" s="153"/>
      <c r="H58" s="153"/>
      <c r="I58" s="153"/>
      <c r="J58" s="50"/>
      <c r="K58" s="50"/>
      <c r="N58" s="50"/>
      <c r="O58" s="50"/>
      <c r="P58" s="50"/>
      <c r="Q58" s="50"/>
      <c r="R58" s="50"/>
      <c r="V58" s="50"/>
      <c r="Y58" s="271"/>
      <c r="AI58" s="97"/>
      <c r="BS58" s="251" t="s">
        <v>201</v>
      </c>
      <c r="BT58" s="251" t="s">
        <v>202</v>
      </c>
      <c r="BU58" s="251" t="s">
        <v>204</v>
      </c>
      <c r="BV58" s="252" t="s">
        <v>1357</v>
      </c>
      <c r="BW58" s="252" t="s">
        <v>1351</v>
      </c>
      <c r="BX58" s="252" t="s">
        <v>2405</v>
      </c>
      <c r="BY58" s="252" t="s">
        <v>197</v>
      </c>
      <c r="BZ58" s="252" t="s">
        <v>3108</v>
      </c>
      <c r="CA58" s="252" t="s">
        <v>1273</v>
      </c>
    </row>
    <row r="59" spans="2:84" ht="7.5" customHeight="1" x14ac:dyDescent="0.25">
      <c r="B59" s="283"/>
      <c r="C59" s="284"/>
      <c r="D59" s="284"/>
      <c r="E59" s="284"/>
      <c r="AI59" s="97"/>
      <c r="BS59" s="251"/>
      <c r="BT59" s="251"/>
      <c r="BU59" s="251"/>
      <c r="BV59" s="252"/>
      <c r="BW59" s="252"/>
      <c r="BX59" s="252"/>
      <c r="BY59" s="252"/>
      <c r="BZ59" s="252"/>
      <c r="CA59" s="252"/>
    </row>
    <row r="60" spans="2:84" ht="13.5" customHeight="1" x14ac:dyDescent="0.25">
      <c r="B60" s="104"/>
      <c r="U60" s="170" t="s">
        <v>20</v>
      </c>
      <c r="W60" s="168" t="s">
        <v>20</v>
      </c>
      <c r="Y60" s="170" t="s">
        <v>154</v>
      </c>
      <c r="AI60" s="97"/>
      <c r="AK60" s="171" t="s">
        <v>155</v>
      </c>
      <c r="AL60" s="274" t="s">
        <v>156</v>
      </c>
      <c r="AM60" s="152" t="e">
        <f>VLOOKUP(AM66,BB64:BC72,2,0)</f>
        <v>#N/A</v>
      </c>
      <c r="BS60" s="251"/>
      <c r="BT60" s="251"/>
      <c r="BU60" s="251"/>
      <c r="BV60" s="252"/>
      <c r="BW60" s="252"/>
      <c r="BX60" s="252"/>
      <c r="BY60" s="252"/>
      <c r="BZ60" s="252"/>
      <c r="CA60" s="252"/>
    </row>
    <row r="61" spans="2:84" ht="18" customHeight="1" x14ac:dyDescent="0.25">
      <c r="B61" s="104"/>
      <c r="W61" s="172"/>
      <c r="AI61" s="97"/>
      <c r="AK61" s="171" t="s">
        <v>157</v>
      </c>
      <c r="AL61" s="213"/>
      <c r="AM61" s="152" t="e">
        <f>VLOOKUP(AM66,BB64:BD72,3,0)</f>
        <v>#N/A</v>
      </c>
      <c r="BJ61" s="7" t="str">
        <f>CONCATENATE(G63,"_",G65,"_",G67,"_",P65)</f>
        <v>___</v>
      </c>
      <c r="BK61" s="50" t="s">
        <v>5796</v>
      </c>
      <c r="BL61" s="50" t="s">
        <v>5797</v>
      </c>
      <c r="BM61" s="252" t="s">
        <v>5807</v>
      </c>
      <c r="BN61" s="252" t="s">
        <v>5808</v>
      </c>
      <c r="BO61" s="252" t="s">
        <v>5809</v>
      </c>
      <c r="BP61" s="252" t="s">
        <v>5810</v>
      </c>
      <c r="BQ61" s="252" t="s">
        <v>5811</v>
      </c>
      <c r="BR61" s="258" t="s">
        <v>5812</v>
      </c>
      <c r="BS61" s="251"/>
      <c r="BT61" s="251"/>
      <c r="BU61" s="251"/>
      <c r="BV61" s="252"/>
      <c r="BW61" s="252"/>
      <c r="BX61" s="252"/>
      <c r="BY61" s="252"/>
      <c r="BZ61" s="252"/>
      <c r="CA61" s="252"/>
    </row>
    <row r="62" spans="2:84" ht="10.5" customHeight="1" x14ac:dyDescent="0.25">
      <c r="B62" s="104"/>
      <c r="S62" s="22"/>
      <c r="W62" s="168"/>
      <c r="AI62" s="97"/>
      <c r="BJ62" s="7" t="s">
        <v>5795</v>
      </c>
      <c r="BK62" s="50">
        <v>391584</v>
      </c>
      <c r="BL62" s="50">
        <v>208204</v>
      </c>
      <c r="BM62" s="252"/>
      <c r="BN62" s="252"/>
      <c r="BO62" s="252"/>
      <c r="BP62" s="252"/>
      <c r="BQ62" s="252"/>
      <c r="BR62" s="258"/>
      <c r="BS62" s="251"/>
      <c r="BT62" s="251"/>
      <c r="BU62" s="251"/>
      <c r="BV62" s="252"/>
      <c r="BW62" s="252"/>
      <c r="BX62" s="252"/>
      <c r="BY62" s="252"/>
      <c r="BZ62" s="252"/>
      <c r="CA62" s="252"/>
    </row>
    <row r="63" spans="2:84" ht="15.75" x14ac:dyDescent="0.25">
      <c r="B63" s="173"/>
      <c r="C63" s="174"/>
      <c r="D63" s="174"/>
      <c r="E63" s="89" t="str">
        <f>Překlady!C12</f>
        <v>Tvar sestavy:</v>
      </c>
      <c r="G63" s="203"/>
      <c r="H63" s="203"/>
      <c r="I63" s="203"/>
      <c r="J63" s="203"/>
      <c r="K63" s="203"/>
      <c r="AI63" s="97"/>
      <c r="AK63" s="140" t="s">
        <v>158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159</v>
      </c>
      <c r="AW63" s="7">
        <f>IF(AND(G63=Překlady!C14,G65=Překlady!C15),1,0)</f>
        <v>0</v>
      </c>
      <c r="AZ63" s="7" t="s">
        <v>24</v>
      </c>
      <c r="BA63" s="7" t="s">
        <v>25</v>
      </c>
      <c r="BC63" s="152" t="s">
        <v>155</v>
      </c>
      <c r="BD63" s="152" t="s">
        <v>157</v>
      </c>
      <c r="BJ63" s="7" t="str">
        <f>CONCATENATE(Překlady!$C$13,"_",Překlady!$C$16,"_",Překlady!$C$34,"_")</f>
        <v>rovný_ne_vlevo_</v>
      </c>
      <c r="BK63" s="50">
        <f>IF($BK$57="ano",0,1)</f>
        <v>0</v>
      </c>
      <c r="BL63" s="50">
        <v>1</v>
      </c>
      <c r="BM63" s="7" t="s">
        <v>5814</v>
      </c>
      <c r="BN63" s="7">
        <v>543616</v>
      </c>
      <c r="BO63" s="7">
        <v>543616</v>
      </c>
      <c r="BP63" s="7">
        <v>543616</v>
      </c>
      <c r="BQ63" s="7">
        <v>543616</v>
      </c>
      <c r="BR63" s="7">
        <v>543616</v>
      </c>
      <c r="BS63" s="7">
        <v>543616</v>
      </c>
      <c r="BT63" s="7">
        <v>543616</v>
      </c>
      <c r="BU63" s="7">
        <v>543616</v>
      </c>
      <c r="BV63" s="7">
        <v>543616</v>
      </c>
      <c r="BW63" s="7">
        <v>543616</v>
      </c>
      <c r="BX63" s="7">
        <v>543616</v>
      </c>
      <c r="BY63" s="7">
        <v>543616</v>
      </c>
      <c r="BZ63" s="7">
        <v>543616</v>
      </c>
      <c r="CA63" s="7">
        <v>543616</v>
      </c>
      <c r="CF63" s="7" t="s">
        <v>5788</v>
      </c>
    </row>
    <row r="64" spans="2:84" x14ac:dyDescent="0.25">
      <c r="B64" s="104"/>
      <c r="AC64" s="271" t="s">
        <v>160</v>
      </c>
      <c r="AF64" s="172"/>
      <c r="AI64" s="97"/>
      <c r="AK64" s="140" t="s">
        <v>161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J64" s="7" t="str">
        <f>CONCATENATE(Překlady!$C$13,"_",Překlady!$C$16,"_",Překlady!$C$35,"_")</f>
        <v>rovný_ne_vpravo_</v>
      </c>
      <c r="BK64" s="50">
        <f>IF($BK$57="ano",0,1)</f>
        <v>0</v>
      </c>
      <c r="BL64" s="50">
        <v>1</v>
      </c>
      <c r="BM64" s="7" t="s">
        <v>5814</v>
      </c>
      <c r="BN64" s="7">
        <v>543616</v>
      </c>
      <c r="BO64" s="7">
        <v>543616</v>
      </c>
      <c r="BP64" s="7">
        <v>543616</v>
      </c>
      <c r="BQ64" s="7">
        <v>543616</v>
      </c>
      <c r="BR64" s="7">
        <v>543616</v>
      </c>
      <c r="BS64" s="7">
        <v>543616</v>
      </c>
      <c r="BT64" s="7">
        <v>543616</v>
      </c>
      <c r="BU64" s="7">
        <v>543616</v>
      </c>
      <c r="BV64" s="7">
        <v>543616</v>
      </c>
      <c r="BW64" s="7">
        <v>543616</v>
      </c>
      <c r="BX64" s="7">
        <v>543616</v>
      </c>
      <c r="BY64" s="7">
        <v>543616</v>
      </c>
      <c r="BZ64" s="7">
        <v>543616</v>
      </c>
      <c r="CA64" s="7">
        <v>543616</v>
      </c>
      <c r="CF64" s="7" t="s">
        <v>5788</v>
      </c>
    </row>
    <row r="65" spans="2:84" ht="15.75" x14ac:dyDescent="0.25">
      <c r="B65" s="173"/>
      <c r="C65" s="174"/>
      <c r="D65" s="174"/>
      <c r="E65" s="89" t="str">
        <f>Překlady!C17</f>
        <v>Bude přerušený led pásek?</v>
      </c>
      <c r="G65" s="203"/>
      <c r="H65" s="203"/>
      <c r="I65" s="203"/>
      <c r="J65" s="203"/>
      <c r="K65" s="203"/>
      <c r="M65" s="303" t="str">
        <f>IF(AW63=1,Překlady!C37,"")</f>
        <v/>
      </c>
      <c r="N65" s="303"/>
      <c r="O65" s="303"/>
      <c r="P65" s="276"/>
      <c r="Q65" s="276"/>
      <c r="R65" s="175"/>
      <c r="AC65" s="271"/>
      <c r="AE65" s="96"/>
      <c r="AF65" s="172"/>
      <c r="AI65" s="97"/>
      <c r="AK65" s="140" t="s">
        <v>5781</v>
      </c>
      <c r="AL65" s="7">
        <f>IF(AND(G63=Překlady!C13,Sestava1!G65=Překlady!C15),1,0)</f>
        <v>0</v>
      </c>
      <c r="BB65" s="7" t="str">
        <f>CONCATENATE(Překlady!C13,"_",Překlady!C16,"_")</f>
        <v>rovný_ne_</v>
      </c>
      <c r="BC65" s="7">
        <v>1</v>
      </c>
      <c r="BJ65" s="7" t="str">
        <f>CONCATENATE(Překlady!$C$13,"_",Překlady!$C$15,"_",Překlady!$C$36,"_")</f>
        <v>rovný_ano_v přerušení_</v>
      </c>
      <c r="BK65" s="50">
        <f>IF($BK$57="ano",1,2)</f>
        <v>1</v>
      </c>
      <c r="BL65" s="50">
        <v>2</v>
      </c>
      <c r="BM65" s="7" t="s">
        <v>5815</v>
      </c>
      <c r="BN65" s="7">
        <v>543616</v>
      </c>
      <c r="BO65" s="7">
        <v>543616</v>
      </c>
      <c r="BP65" s="7">
        <v>543616</v>
      </c>
      <c r="BQ65" s="7">
        <v>543616</v>
      </c>
      <c r="BR65" s="7">
        <v>543616</v>
      </c>
      <c r="BS65" s="7">
        <v>543616</v>
      </c>
      <c r="BT65" s="7">
        <v>543616</v>
      </c>
      <c r="BU65" s="7">
        <v>543616</v>
      </c>
      <c r="BV65" s="7">
        <v>543616</v>
      </c>
      <c r="BW65" s="7">
        <v>543616</v>
      </c>
      <c r="BX65" s="7">
        <v>543616</v>
      </c>
      <c r="BY65" s="7">
        <v>543616</v>
      </c>
      <c r="BZ65" s="7">
        <v>543616</v>
      </c>
      <c r="CA65" s="7">
        <v>543616</v>
      </c>
      <c r="CF65" s="7" t="s">
        <v>5787</v>
      </c>
    </row>
    <row r="66" spans="2:84" x14ac:dyDescent="0.25">
      <c r="B66" s="104"/>
      <c r="AB66" s="96"/>
      <c r="AC66" s="96"/>
      <c r="AE66" s="170"/>
      <c r="AF66" s="176"/>
      <c r="AI66" s="97"/>
      <c r="AK66" s="140" t="s">
        <v>24</v>
      </c>
      <c r="AL66" s="162" t="s">
        <v>137</v>
      </c>
      <c r="AM66" s="162" t="str">
        <f>CONCATENATE(G63,"_",G65,"_",P65)</f>
        <v>__</v>
      </c>
      <c r="AN66" s="50" t="str">
        <f>IFERROR((VLOOKUP(AM66,AM67:AN70,2,0)),"X")</f>
        <v>X</v>
      </c>
      <c r="AP66" s="7" t="s">
        <v>162</v>
      </c>
      <c r="AQ66" s="7" t="s">
        <v>137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J66" s="7" t="str">
        <f>CONCATENATE(Překlady!$C$13,"_",Překlady!$C$15,"_",Překlady!$C$35,"_")</f>
        <v>rovný_ano_vpravo_</v>
      </c>
      <c r="BK66" s="50">
        <f>IF($BK$57="ano",1,2)</f>
        <v>1</v>
      </c>
      <c r="BL66" s="50">
        <v>3</v>
      </c>
      <c r="BM66" s="7" t="s">
        <v>5813</v>
      </c>
      <c r="BN66" s="7">
        <v>543616</v>
      </c>
      <c r="BO66" s="7">
        <v>543616</v>
      </c>
      <c r="BP66" s="7">
        <v>543616</v>
      </c>
      <c r="BQ66" s="7">
        <v>543616</v>
      </c>
      <c r="BR66" s="7">
        <v>543616</v>
      </c>
      <c r="BS66" s="7">
        <v>543616</v>
      </c>
      <c r="BT66" s="7">
        <v>543616</v>
      </c>
      <c r="BU66" s="7">
        <v>543616</v>
      </c>
      <c r="BV66" s="7">
        <v>543616</v>
      </c>
      <c r="BW66" s="7">
        <v>543616</v>
      </c>
      <c r="BX66" s="7">
        <v>543616</v>
      </c>
      <c r="BY66" s="7">
        <v>543616</v>
      </c>
      <c r="BZ66" s="7">
        <v>543616</v>
      </c>
      <c r="CA66" s="7">
        <v>543616</v>
      </c>
      <c r="CF66" s="7" t="s">
        <v>5786</v>
      </c>
    </row>
    <row r="67" spans="2:84" ht="15.75" x14ac:dyDescent="0.25">
      <c r="B67" s="173"/>
      <c r="C67" s="174"/>
      <c r="D67" s="174"/>
      <c r="E67" s="89" t="str">
        <f>Překlady!C33</f>
        <v>Umístění napájení:</v>
      </c>
      <c r="G67" s="203"/>
      <c r="H67" s="203"/>
      <c r="I67" s="203"/>
      <c r="J67" s="203"/>
      <c r="K67" s="203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J67" s="7" t="str">
        <f>CONCATENATE(Překlady!$C$13,"_",Překlady!$C$15,"_",Překlady!$C$34,"_")</f>
        <v>rovný_ano_vlevo_</v>
      </c>
      <c r="BK67" s="50">
        <f>IF($BK$57="ano",1,2)</f>
        <v>1</v>
      </c>
      <c r="BL67" s="50">
        <v>3</v>
      </c>
      <c r="BM67" s="7" t="s">
        <v>5813</v>
      </c>
      <c r="BN67" s="7">
        <v>543616</v>
      </c>
      <c r="BO67" s="7">
        <v>543616</v>
      </c>
      <c r="BP67" s="7">
        <v>543616</v>
      </c>
      <c r="BQ67" s="7">
        <v>543616</v>
      </c>
      <c r="BR67" s="7">
        <v>543616</v>
      </c>
      <c r="BS67" s="7">
        <v>543616</v>
      </c>
      <c r="BT67" s="7">
        <v>543616</v>
      </c>
      <c r="BU67" s="7">
        <v>543616</v>
      </c>
      <c r="BV67" s="7">
        <v>543616</v>
      </c>
      <c r="BW67" s="7">
        <v>543616</v>
      </c>
      <c r="BX67" s="7">
        <v>543616</v>
      </c>
      <c r="BY67" s="7">
        <v>543616</v>
      </c>
      <c r="BZ67" s="7">
        <v>543616</v>
      </c>
      <c r="CA67" s="7">
        <v>543616</v>
      </c>
      <c r="CF67" s="7" t="s">
        <v>5786</v>
      </c>
    </row>
    <row r="68" spans="2:84" ht="24.75" customHeight="1" x14ac:dyDescent="0.25">
      <c r="B68" s="104"/>
      <c r="Z68" s="102"/>
      <c r="AA68" s="168"/>
      <c r="AC68" s="168" t="s">
        <v>163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J68" s="7" t="str">
        <f>CONCATENATE(Překlady!$C$14,"_",Překlady!$C$16,"_",Překlady!$C$34,"_")</f>
        <v>rohový_ne_vlevo_</v>
      </c>
      <c r="BK68" s="50">
        <v>2</v>
      </c>
      <c r="BL68" s="50">
        <v>3</v>
      </c>
      <c r="BM68" s="7" t="s">
        <v>5813</v>
      </c>
      <c r="BN68" s="7">
        <v>543616</v>
      </c>
      <c r="BO68" s="7">
        <v>543616</v>
      </c>
      <c r="BP68" s="7">
        <v>543616</v>
      </c>
      <c r="BQ68" s="7">
        <v>543616</v>
      </c>
      <c r="BR68" s="7">
        <v>543616</v>
      </c>
      <c r="BS68" s="7">
        <v>543616</v>
      </c>
      <c r="BT68" s="7">
        <v>543616</v>
      </c>
      <c r="BU68" s="7">
        <v>543616</v>
      </c>
      <c r="BV68" s="7">
        <v>543616</v>
      </c>
      <c r="BW68" s="7">
        <v>543616</v>
      </c>
      <c r="BX68" s="7">
        <v>543616</v>
      </c>
      <c r="BY68" s="7">
        <v>543616</v>
      </c>
      <c r="BZ68" s="7">
        <v>543616</v>
      </c>
      <c r="CA68" s="7">
        <v>543616</v>
      </c>
      <c r="CF68" s="7" t="s">
        <v>5789</v>
      </c>
    </row>
    <row r="69" spans="2:84" ht="15.75" customHeight="1" x14ac:dyDescent="0.25">
      <c r="B69" s="248" t="str">
        <f>Překlady!C46</f>
        <v>Chcete profily krátit na míru?</v>
      </c>
      <c r="C69" s="201"/>
      <c r="D69" s="201"/>
      <c r="E69" s="201"/>
      <c r="F69" s="177"/>
      <c r="G69" s="203"/>
      <c r="H69" s="203"/>
      <c r="I69" s="203"/>
      <c r="J69" s="203"/>
      <c r="K69" s="203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J69" s="7" t="str">
        <f>CONCATENATE(Překlady!$C$14,"_",Překlady!$C$16,"_",Překlady!$C$35,"_")</f>
        <v>rohový_ne_vpravo_</v>
      </c>
      <c r="BK69" s="50">
        <v>2</v>
      </c>
      <c r="BL69" s="50">
        <v>3</v>
      </c>
      <c r="BM69" s="7" t="s">
        <v>5813</v>
      </c>
      <c r="BN69" s="7">
        <v>543616</v>
      </c>
      <c r="BO69" s="7">
        <v>543616</v>
      </c>
      <c r="BP69" s="7">
        <v>543616</v>
      </c>
      <c r="BQ69" s="7">
        <v>543616</v>
      </c>
      <c r="BR69" s="7">
        <v>543616</v>
      </c>
      <c r="BS69" s="7">
        <v>543616</v>
      </c>
      <c r="BT69" s="7">
        <v>543616</v>
      </c>
      <c r="BU69" s="7">
        <v>543616</v>
      </c>
      <c r="BV69" s="7">
        <v>543616</v>
      </c>
      <c r="BW69" s="7">
        <v>543616</v>
      </c>
      <c r="BX69" s="7">
        <v>543616</v>
      </c>
      <c r="BY69" s="7">
        <v>543616</v>
      </c>
      <c r="BZ69" s="7">
        <v>543616</v>
      </c>
      <c r="CA69" s="7">
        <v>543616</v>
      </c>
    </row>
    <row r="70" spans="2:84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164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J70" s="7" t="str">
        <f>CONCATENATE(Překlady!$C$14,"_",Překlady!$C$16,"_",Překlady!$C$38,"_")</f>
        <v>rohový_ne_v rohu_</v>
      </c>
      <c r="BK70" s="50">
        <v>2</v>
      </c>
      <c r="BL70" s="50">
        <v>2</v>
      </c>
      <c r="BM70" s="7" t="s">
        <v>5817</v>
      </c>
      <c r="BN70" s="7">
        <v>543616</v>
      </c>
      <c r="BO70" s="7">
        <v>543616</v>
      </c>
      <c r="BP70" s="7">
        <v>543616</v>
      </c>
      <c r="BQ70" s="7">
        <v>543616</v>
      </c>
      <c r="BR70" s="7">
        <v>543616</v>
      </c>
      <c r="BS70" s="7">
        <v>543616</v>
      </c>
      <c r="BT70" s="7">
        <v>543616</v>
      </c>
      <c r="BU70" s="7">
        <v>543616</v>
      </c>
      <c r="BV70" s="7">
        <v>543616</v>
      </c>
      <c r="BW70" s="7">
        <v>543616</v>
      </c>
      <c r="BX70" s="7">
        <v>543616</v>
      </c>
      <c r="BY70" s="7">
        <v>543616</v>
      </c>
      <c r="BZ70" s="7">
        <v>543616</v>
      </c>
      <c r="CA70" s="7">
        <v>543616</v>
      </c>
      <c r="CF70" s="7" t="s">
        <v>5790</v>
      </c>
    </row>
    <row r="71" spans="2:84" x14ac:dyDescent="0.25">
      <c r="B71" s="104"/>
      <c r="AC71" s="271" t="s">
        <v>163</v>
      </c>
      <c r="AD71" s="96"/>
      <c r="AE71" s="96"/>
      <c r="AI71" s="97"/>
      <c r="AK71" s="140" t="s">
        <v>165</v>
      </c>
      <c r="AL71" s="7" t="str">
        <f>Překlady!$C$34</f>
        <v>vlevo</v>
      </c>
      <c r="AM71" s="252" t="s">
        <v>166</v>
      </c>
      <c r="AN71" s="240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20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J71" s="7" t="str">
        <f>CONCATENATE(Překlady!$C$14,"_",Překlady!$C$15,"_",Překlady!$C$34,"_",Překlady!$C$34)</f>
        <v>rohový_ano_vlevo_vlevo</v>
      </c>
      <c r="BK71" s="50">
        <v>3</v>
      </c>
      <c r="BL71" s="50">
        <v>5</v>
      </c>
      <c r="BM71" s="7" t="s">
        <v>5818</v>
      </c>
      <c r="BN71" s="7">
        <v>543616</v>
      </c>
      <c r="BO71" s="7">
        <v>543616</v>
      </c>
      <c r="BP71" s="7">
        <v>543616</v>
      </c>
      <c r="BQ71" s="7">
        <v>543616</v>
      </c>
      <c r="BR71" s="7">
        <v>543616</v>
      </c>
      <c r="BS71" s="7">
        <v>543616</v>
      </c>
      <c r="BT71" s="7">
        <v>543616</v>
      </c>
      <c r="BU71" s="7">
        <v>543616</v>
      </c>
      <c r="BV71" s="7">
        <v>543616</v>
      </c>
      <c r="BW71" s="7">
        <v>543616</v>
      </c>
      <c r="BX71" s="7">
        <v>543616</v>
      </c>
      <c r="BY71" s="7">
        <v>543616</v>
      </c>
      <c r="BZ71" s="7">
        <v>543616</v>
      </c>
      <c r="CA71" s="7">
        <v>543616</v>
      </c>
      <c r="CF71" s="7" t="s">
        <v>5791</v>
      </c>
    </row>
    <row r="72" spans="2:84" ht="15.75" x14ac:dyDescent="0.25">
      <c r="B72" s="248" t="str">
        <f>Překlady!C39</f>
        <v>Definuj délky:</v>
      </c>
      <c r="C72" s="201"/>
      <c r="D72" s="201"/>
      <c r="E72" s="201"/>
      <c r="G72" s="178" t="s">
        <v>167</v>
      </c>
      <c r="I72" s="282"/>
      <c r="J72" s="282"/>
      <c r="K72" s="282"/>
      <c r="M72" s="170" t="s">
        <v>168</v>
      </c>
      <c r="O72" s="275"/>
      <c r="P72" s="275"/>
      <c r="Q72" s="179"/>
      <c r="AC72" s="271"/>
      <c r="AI72" s="97"/>
      <c r="AL72" s="7" t="str">
        <f>Překlady!$C$35</f>
        <v>vpravo</v>
      </c>
      <c r="AM72" s="252"/>
      <c r="AN72" s="240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154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J72" s="7" t="str">
        <f>CONCATENATE(Překlady!$C$14,"_",Překlady!$C$15,"_",Překlady!$C$35,"_",Překlady!$C$35)</f>
        <v>rohový_ano_vpravo_vpravo</v>
      </c>
      <c r="BK72" s="50">
        <v>3</v>
      </c>
      <c r="BL72" s="50">
        <v>5</v>
      </c>
      <c r="BM72" s="7" t="s">
        <v>5818</v>
      </c>
      <c r="BN72" s="7">
        <v>543616</v>
      </c>
      <c r="BO72" s="7">
        <v>543616</v>
      </c>
      <c r="BP72" s="7">
        <v>543616</v>
      </c>
      <c r="BQ72" s="7">
        <v>543616</v>
      </c>
      <c r="BR72" s="7">
        <v>543616</v>
      </c>
      <c r="BS72" s="7">
        <v>543616</v>
      </c>
      <c r="BT72" s="7">
        <v>543616</v>
      </c>
      <c r="BU72" s="7">
        <v>543616</v>
      </c>
      <c r="BV72" s="7">
        <v>543616</v>
      </c>
      <c r="BW72" s="7">
        <v>543616</v>
      </c>
      <c r="BX72" s="7">
        <v>543616</v>
      </c>
      <c r="BY72" s="7">
        <v>543616</v>
      </c>
      <c r="BZ72" s="7">
        <v>543616</v>
      </c>
      <c r="CA72" s="7">
        <v>543616</v>
      </c>
      <c r="CF72" s="7" t="s">
        <v>5791</v>
      </c>
    </row>
    <row r="73" spans="2:84" ht="15" customHeight="1" x14ac:dyDescent="0.25">
      <c r="B73" s="285" t="str">
        <f>Překlady!C83</f>
        <v xml:space="preserve"> Zadávejte celkovou vnější délku vč. koncovek</v>
      </c>
      <c r="C73" s="252"/>
      <c r="D73" s="252"/>
      <c r="E73" s="252"/>
      <c r="G73" s="168" t="s">
        <v>169</v>
      </c>
      <c r="I73" s="275"/>
      <c r="J73" s="275"/>
      <c r="K73" s="275"/>
      <c r="M73" s="170" t="s">
        <v>6809</v>
      </c>
      <c r="O73" s="275"/>
      <c r="P73" s="275"/>
      <c r="Q73" s="179" t="s">
        <v>170</v>
      </c>
      <c r="AI73" s="97"/>
      <c r="AL73" s="7" t="str">
        <f>IF(Sestava1!G65=Překlady!C15,Překlady!$C$36,IF(Sestava1!G63=Překlady!C14,Překlady!$C$38,""))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163</v>
      </c>
      <c r="AW73" s="7">
        <f>IF($AL$64=1,1,2)</f>
        <v>2</v>
      </c>
      <c r="BJ73" s="7" t="str">
        <f>CONCATENATE(Překlady!$C$14,"_",Překlady!$C$15,"_",Překlady!$C$34,"_",Překlady!$C$35)</f>
        <v>rohový_ano_vlevo_vpravo</v>
      </c>
      <c r="BK73" s="50">
        <v>3</v>
      </c>
      <c r="BL73" s="50">
        <v>5</v>
      </c>
      <c r="BM73" s="7" t="s">
        <v>5818</v>
      </c>
      <c r="BN73" s="7">
        <v>543616</v>
      </c>
      <c r="BO73" s="7">
        <v>543616</v>
      </c>
      <c r="BP73" s="7">
        <v>543616</v>
      </c>
      <c r="BQ73" s="7">
        <v>543616</v>
      </c>
      <c r="BR73" s="7">
        <v>543616</v>
      </c>
      <c r="BS73" s="7">
        <v>543616</v>
      </c>
      <c r="BT73" s="7">
        <v>543616</v>
      </c>
      <c r="BU73" s="7">
        <v>543616</v>
      </c>
      <c r="BV73" s="7">
        <v>543616</v>
      </c>
      <c r="BW73" s="7">
        <v>543616</v>
      </c>
      <c r="BX73" s="7">
        <v>543616</v>
      </c>
      <c r="BY73" s="7">
        <v>543616</v>
      </c>
      <c r="BZ73" s="7">
        <v>543616</v>
      </c>
      <c r="CA73" s="7">
        <v>543616</v>
      </c>
    </row>
    <row r="74" spans="2:84" ht="15" customHeight="1" x14ac:dyDescent="0.25">
      <c r="B74" s="285"/>
      <c r="C74" s="252"/>
      <c r="D74" s="252"/>
      <c r="E74" s="252"/>
      <c r="G74" s="170"/>
      <c r="I74" s="180"/>
      <c r="J74" s="180"/>
      <c r="K74" s="179"/>
      <c r="M74" s="170" t="s">
        <v>171</v>
      </c>
      <c r="Q74" s="179"/>
      <c r="AI74" s="97"/>
      <c r="AL74" s="7" t="str">
        <f>IF(AL73=Překlady!C38,"",IF(Sestava1!G63=Překlady!C14,Překlady!$C$38,""))</f>
        <v/>
      </c>
      <c r="AS74" s="50"/>
      <c r="AV74" s="7" t="s">
        <v>160</v>
      </c>
      <c r="AW74" s="7">
        <f>IF($AN$66=2,1,2)</f>
        <v>2</v>
      </c>
      <c r="BJ74" s="7" t="str">
        <f>CONCATENATE(Překlady!$C$14,"_",Překlady!$C$15,"_",Překlady!$C$35,"_",Překlady!$C$34)</f>
        <v>rohový_ano_vpravo_vlevo</v>
      </c>
      <c r="BK74" s="50">
        <v>3</v>
      </c>
      <c r="BL74" s="50">
        <v>5</v>
      </c>
      <c r="BM74" s="7" t="s">
        <v>5818</v>
      </c>
      <c r="BN74" s="7">
        <v>543616</v>
      </c>
      <c r="BO74" s="7">
        <v>543616</v>
      </c>
      <c r="BP74" s="7">
        <v>543616</v>
      </c>
      <c r="BQ74" s="7">
        <v>543616</v>
      </c>
      <c r="BR74" s="7">
        <v>543616</v>
      </c>
      <c r="BS74" s="7">
        <v>543616</v>
      </c>
      <c r="BT74" s="7">
        <v>543616</v>
      </c>
      <c r="BU74" s="7">
        <v>543616</v>
      </c>
      <c r="BV74" s="7">
        <v>543616</v>
      </c>
      <c r="BW74" s="7">
        <v>543616</v>
      </c>
      <c r="BX74" s="7">
        <v>543616</v>
      </c>
      <c r="BY74" s="7">
        <v>543616</v>
      </c>
      <c r="BZ74" s="7">
        <v>543616</v>
      </c>
      <c r="CA74" s="7">
        <v>543616</v>
      </c>
    </row>
    <row r="75" spans="2:84" ht="15" customHeight="1" x14ac:dyDescent="0.25">
      <c r="B75" s="181"/>
      <c r="C75" s="18"/>
      <c r="D75" s="18"/>
      <c r="E75" s="18"/>
      <c r="AI75" s="97"/>
      <c r="BJ75" s="7" t="str">
        <f>CONCATENATE(Překlady!$C$14,"_",Překlady!$C$15,"_",Překlady!$C$36,"_",Překlady!$C$35)</f>
        <v>rohový_ano_v přerušení_vpravo</v>
      </c>
      <c r="BK75" s="50">
        <v>3</v>
      </c>
      <c r="BL75" s="50">
        <v>4</v>
      </c>
      <c r="BM75" s="7" t="s">
        <v>5819</v>
      </c>
      <c r="BN75" s="7">
        <v>543616</v>
      </c>
      <c r="BO75" s="7">
        <v>543616</v>
      </c>
      <c r="BP75" s="7">
        <v>543616</v>
      </c>
      <c r="BQ75" s="7">
        <v>543616</v>
      </c>
      <c r="BR75" s="7">
        <v>543616</v>
      </c>
      <c r="BS75" s="7">
        <v>543616</v>
      </c>
      <c r="BT75" s="7">
        <v>543616</v>
      </c>
      <c r="BU75" s="7">
        <v>543616</v>
      </c>
      <c r="BV75" s="7">
        <v>543616</v>
      </c>
      <c r="BW75" s="7">
        <v>543616</v>
      </c>
      <c r="BX75" s="7">
        <v>543616</v>
      </c>
      <c r="BY75" s="7">
        <v>543616</v>
      </c>
      <c r="BZ75" s="7">
        <v>543616</v>
      </c>
      <c r="CA75" s="7">
        <v>543616</v>
      </c>
    </row>
    <row r="76" spans="2:84" x14ac:dyDescent="0.25">
      <c r="B76" s="104"/>
      <c r="AI76" s="97"/>
      <c r="BJ76" s="7" t="str">
        <f>CONCATENATE(Překlady!$C$14,"_",Překlady!$C$15,"_",Překlady!$C$36,"_",Překlady!$C$34)</f>
        <v>rohový_ano_v přerušení_vlevo</v>
      </c>
      <c r="BK76" s="50">
        <v>3</v>
      </c>
      <c r="BL76" s="50">
        <v>4</v>
      </c>
      <c r="BM76" s="7" t="s">
        <v>5819</v>
      </c>
      <c r="BN76" s="7">
        <v>543616</v>
      </c>
      <c r="BO76" s="7">
        <v>543616</v>
      </c>
      <c r="BP76" s="7">
        <v>543616</v>
      </c>
      <c r="BQ76" s="7">
        <v>543616</v>
      </c>
      <c r="BR76" s="7">
        <v>543616</v>
      </c>
      <c r="BS76" s="7">
        <v>543616</v>
      </c>
      <c r="BT76" s="7">
        <v>543616</v>
      </c>
      <c r="BU76" s="7">
        <v>543616</v>
      </c>
      <c r="BV76" s="7">
        <v>543616</v>
      </c>
      <c r="BW76" s="7">
        <v>543616</v>
      </c>
      <c r="BX76" s="7">
        <v>543616</v>
      </c>
      <c r="BY76" s="7">
        <v>543616</v>
      </c>
      <c r="BZ76" s="7">
        <v>543616</v>
      </c>
      <c r="CA76" s="7">
        <v>543616</v>
      </c>
    </row>
    <row r="77" spans="2:84" ht="12.75" customHeight="1" x14ac:dyDescent="0.25">
      <c r="B77" s="104"/>
      <c r="AI77" s="97"/>
      <c r="BJ77" s="7" t="str">
        <f>CONCATENATE(Překlady!$C$14,"_",Překlady!$C$15,"_",Překlady!$C$38,"_",Překlady!$C$35)</f>
        <v>rohový_ano_v rohu_vpravo</v>
      </c>
      <c r="BK77" s="50">
        <v>3</v>
      </c>
      <c r="BL77" s="50">
        <v>4</v>
      </c>
      <c r="BM77" s="7" t="s">
        <v>5820</v>
      </c>
      <c r="BN77" s="7">
        <v>543616</v>
      </c>
      <c r="BO77" s="7">
        <v>543616</v>
      </c>
      <c r="BP77" s="7">
        <v>543616</v>
      </c>
      <c r="BQ77" s="7">
        <v>543616</v>
      </c>
      <c r="BR77" s="7">
        <v>543616</v>
      </c>
      <c r="BS77" s="7">
        <v>543616</v>
      </c>
      <c r="BT77" s="7">
        <v>543616</v>
      </c>
      <c r="BU77" s="7">
        <v>543616</v>
      </c>
      <c r="BV77" s="7">
        <v>543616</v>
      </c>
      <c r="BW77" s="7">
        <v>543616</v>
      </c>
      <c r="BX77" s="7">
        <v>543616</v>
      </c>
      <c r="BY77" s="7">
        <v>543616</v>
      </c>
      <c r="BZ77" s="7">
        <v>543616</v>
      </c>
      <c r="CA77" s="7">
        <v>543616</v>
      </c>
      <c r="CF77" s="7" t="s">
        <v>5792</v>
      </c>
    </row>
    <row r="78" spans="2:84" x14ac:dyDescent="0.25">
      <c r="B78" s="104"/>
      <c r="AI78" s="97"/>
      <c r="BJ78" s="7" t="str">
        <f>CONCATENATE(Překlady!$C$14,"_",Překlady!$C$15,"_",Překlady!$C$38,"_",Překlady!$C$34)</f>
        <v>rohový_ano_v rohu_vlevo</v>
      </c>
      <c r="BK78" s="50">
        <v>3</v>
      </c>
      <c r="BL78" s="50">
        <v>4</v>
      </c>
      <c r="BM78" s="7" t="s">
        <v>5820</v>
      </c>
      <c r="BN78" s="7">
        <v>543616</v>
      </c>
      <c r="BO78" s="7">
        <v>543616</v>
      </c>
      <c r="BP78" s="7">
        <v>543616</v>
      </c>
      <c r="BQ78" s="7">
        <v>543616</v>
      </c>
      <c r="BR78" s="7">
        <v>543616</v>
      </c>
      <c r="BS78" s="7">
        <v>543616</v>
      </c>
      <c r="BT78" s="7">
        <v>543616</v>
      </c>
      <c r="BU78" s="7">
        <v>543616</v>
      </c>
      <c r="BV78" s="7">
        <v>543616</v>
      </c>
      <c r="BW78" s="7">
        <v>543616</v>
      </c>
      <c r="BX78" s="7">
        <v>543616</v>
      </c>
      <c r="BY78" s="7">
        <v>543616</v>
      </c>
      <c r="BZ78" s="7">
        <v>543616</v>
      </c>
      <c r="CA78" s="7">
        <v>543616</v>
      </c>
      <c r="CF78" s="7" t="s">
        <v>5793</v>
      </c>
    </row>
    <row r="79" spans="2:84" ht="15" customHeight="1" x14ac:dyDescent="0.25">
      <c r="B79" s="104"/>
      <c r="AI79" s="97"/>
      <c r="BJ79" s="7" t="e">
        <f>MATCH(BJ61,BJ63:BJ78,0)</f>
        <v>#N/A</v>
      </c>
      <c r="BK79" s="155" t="e" cm="1">
        <f t="array" ref="BK79">INDEX($BK$63:BK78,BJ79)</f>
        <v>#N/A</v>
      </c>
      <c r="BL79" s="155" t="e" cm="1">
        <f t="array" ref="BL79">INDEX($BL$63:BL78,BJ79)</f>
        <v>#N/A</v>
      </c>
      <c r="BW79" s="17" t="s">
        <v>111</v>
      </c>
      <c r="BX79" s="7" t="s">
        <v>5803</v>
      </c>
    </row>
    <row r="80" spans="2:84" ht="15" customHeight="1" x14ac:dyDescent="0.25">
      <c r="B80" s="104"/>
      <c r="AI80" s="97"/>
      <c r="BW80" s="17" t="s">
        <v>5805</v>
      </c>
      <c r="BX80" s="7" t="s">
        <v>5806</v>
      </c>
    </row>
    <row r="81" spans="2:76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 t="s">
        <v>5805</v>
      </c>
      <c r="BX81" s="7" t="s">
        <v>5804</v>
      </c>
    </row>
    <row r="82" spans="2:76" ht="7.5" customHeight="1" x14ac:dyDescent="0.25"/>
    <row r="83" spans="2:76" ht="7.5" customHeight="1" thickBot="1" x14ac:dyDescent="0.3"/>
    <row r="84" spans="2:76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6" ht="15.75" customHeight="1" x14ac:dyDescent="0.25">
      <c r="B85" s="246" t="str">
        <f>Překlady!C67</f>
        <v>LED pásek:</v>
      </c>
      <c r="C85" s="247"/>
      <c r="D85" s="247"/>
      <c r="E85" s="247"/>
      <c r="M85" s="255" t="s">
        <v>172</v>
      </c>
      <c r="N85" s="256"/>
      <c r="O85" s="256"/>
      <c r="P85" s="256"/>
      <c r="Q85" s="256"/>
      <c r="R85" s="256"/>
      <c r="S85" s="256"/>
      <c r="T85" s="280"/>
      <c r="U85" s="259" t="s">
        <v>173</v>
      </c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I85" s="97"/>
      <c r="AL85" s="17" t="s">
        <v>174</v>
      </c>
      <c r="AM85" s="7" t="s">
        <v>175</v>
      </c>
    </row>
    <row r="86" spans="2:76" ht="15" customHeight="1" x14ac:dyDescent="0.25">
      <c r="B86" s="246"/>
      <c r="C86" s="247"/>
      <c r="D86" s="247"/>
      <c r="E86" s="247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I86" s="97"/>
      <c r="AL86" s="17"/>
      <c r="AM86" s="7" t="s">
        <v>173</v>
      </c>
    </row>
    <row r="87" spans="2:76" x14ac:dyDescent="0.25">
      <c r="B87" s="104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I87" s="97"/>
      <c r="AL87" s="17"/>
      <c r="AM87" s="7" t="str">
        <f>IF(AND(ISBLANK(G19)=TRUE,G89="24V"),"neon","")</f>
        <v/>
      </c>
    </row>
    <row r="88" spans="2:76" x14ac:dyDescent="0.25">
      <c r="B88" s="104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I88" s="97"/>
    </row>
    <row r="89" spans="2:76" ht="15.75" x14ac:dyDescent="0.25">
      <c r="B89" s="249" t="str">
        <f>Překlady!C68</f>
        <v>Napětí:</v>
      </c>
      <c r="C89" s="250"/>
      <c r="D89" s="250"/>
      <c r="E89" s="250"/>
      <c r="G89" s="203"/>
      <c r="H89" s="203"/>
      <c r="I89" s="203"/>
      <c r="J89" s="203"/>
      <c r="K89" s="20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I89" s="97"/>
      <c r="AL89" s="17" t="s">
        <v>177</v>
      </c>
      <c r="AM89" s="7" t="str">
        <f>CONCATENATE(G89,"_",G91)</f>
        <v>_</v>
      </c>
      <c r="AP89" s="17" t="s">
        <v>178</v>
      </c>
      <c r="AQ89" s="7" t="s">
        <v>179</v>
      </c>
    </row>
    <row r="90" spans="2:76" x14ac:dyDescent="0.25">
      <c r="B90" s="104"/>
      <c r="C90" s="102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I90" s="97"/>
      <c r="AL90" s="17" t="s">
        <v>180</v>
      </c>
      <c r="AM90" s="7" t="e">
        <f>VLOOKUP(AM89,AP89:AQ93,2,0)</f>
        <v>#N/A</v>
      </c>
      <c r="AP90" s="17" t="s">
        <v>181</v>
      </c>
      <c r="AQ90" s="7" t="s">
        <v>179</v>
      </c>
    </row>
    <row r="91" spans="2:76" ht="15.75" x14ac:dyDescent="0.25">
      <c r="B91" s="249" t="str">
        <f>Překlady!C69</f>
        <v>Typ led pásku:</v>
      </c>
      <c r="C91" s="250"/>
      <c r="D91" s="250"/>
      <c r="E91" s="250"/>
      <c r="G91" s="203"/>
      <c r="H91" s="203"/>
      <c r="I91" s="203"/>
      <c r="J91" s="203"/>
      <c r="K91" s="20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I91" s="97"/>
      <c r="AL91" s="17"/>
      <c r="AP91" s="7" t="s">
        <v>182</v>
      </c>
      <c r="AQ91" s="7" t="s">
        <v>183</v>
      </c>
    </row>
    <row r="92" spans="2:76" x14ac:dyDescent="0.25">
      <c r="B92" s="104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I92" s="97"/>
      <c r="AL92" s="17"/>
      <c r="AP92" s="7" t="s">
        <v>184</v>
      </c>
      <c r="AQ92" s="7" t="s">
        <v>179</v>
      </c>
    </row>
    <row r="93" spans="2:76" ht="15.75" x14ac:dyDescent="0.25">
      <c r="B93" s="249" t="str">
        <f>Překlady!C70</f>
        <v>Teplota LED pásku:</v>
      </c>
      <c r="C93" s="250"/>
      <c r="D93" s="250"/>
      <c r="E93" s="250"/>
      <c r="G93" s="203"/>
      <c r="H93" s="203"/>
      <c r="I93" s="203"/>
      <c r="J93" s="203"/>
      <c r="K93" s="203"/>
      <c r="AI93" s="97"/>
      <c r="AP93" s="7" t="s">
        <v>185</v>
      </c>
      <c r="AQ93" s="7" t="s">
        <v>186</v>
      </c>
    </row>
    <row r="94" spans="2:76" ht="15.75" x14ac:dyDescent="0.25">
      <c r="B94" s="104"/>
      <c r="U94" s="259" t="str">
        <f>Překlady!C70</f>
        <v>Teplota LED pásku:</v>
      </c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I94" s="97"/>
    </row>
    <row r="95" spans="2:76" ht="15.75" x14ac:dyDescent="0.25">
      <c r="B95" s="249" t="str">
        <f>Překlady!C75</f>
        <v>Svítivost:</v>
      </c>
      <c r="C95" s="250"/>
      <c r="D95" s="250"/>
      <c r="E95" s="250"/>
      <c r="G95" s="203"/>
      <c r="H95" s="203"/>
      <c r="I95" s="203"/>
      <c r="J95" s="203"/>
      <c r="K95" s="20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I95" s="97"/>
      <c r="AL95" s="17" t="s">
        <v>187</v>
      </c>
      <c r="AM95" s="7" t="str">
        <f>IF(G91="neon","teplota1",IF(AM89="24V_COB","teplota3","teplota2"))</f>
        <v>teplota2</v>
      </c>
    </row>
    <row r="96" spans="2:76" x14ac:dyDescent="0.25">
      <c r="B96" s="104"/>
      <c r="C96" s="7" t="str">
        <f>Překlady!C80</f>
        <v>pozn: pro osvětlení pracovní desky stačí vysoká svítivost</v>
      </c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I96" s="97"/>
    </row>
    <row r="97" spans="1:56" x14ac:dyDescent="0.25">
      <c r="B97" s="104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I97" s="97"/>
    </row>
    <row r="98" spans="1:56" ht="15.75" x14ac:dyDescent="0.25">
      <c r="B98" s="249" t="str">
        <f>Překlady!C67</f>
        <v>LED pásek:</v>
      </c>
      <c r="C98" s="250"/>
      <c r="D98" s="250"/>
      <c r="E98" s="250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I98" s="97"/>
    </row>
    <row r="99" spans="1:56" x14ac:dyDescent="0.25">
      <c r="B99" s="104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2"/>
      <c r="R99" s="22"/>
      <c r="S99" s="22"/>
      <c r="T99" s="22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I99" s="97"/>
    </row>
    <row r="100" spans="1:56" x14ac:dyDescent="0.25">
      <c r="B100" s="104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I100" s="97"/>
      <c r="AL100" s="7" t="s">
        <v>137</v>
      </c>
      <c r="AM100" s="7" t="str">
        <f>CONCATENATE(G89,"_",G91,"_",G93,"_",G95)</f>
        <v>___</v>
      </c>
      <c r="AP100" s="7" t="s">
        <v>189</v>
      </c>
      <c r="AQ100" s="50">
        <f>COUNTIF(Produkty!A107:A154,AM100)</f>
        <v>0</v>
      </c>
    </row>
    <row r="101" spans="1:56" ht="15.75" x14ac:dyDescent="0.25">
      <c r="A101" s="71">
        <f>IF(AND(G69=Překlady!C15,Sestava1!AL64=0),1,0)</f>
        <v>0</v>
      </c>
      <c r="B101" s="304" t="str">
        <f>IF(A101=1,Překlady!C110,"")</f>
        <v/>
      </c>
      <c r="C101" s="303"/>
      <c r="D101" s="303"/>
      <c r="E101" s="303"/>
      <c r="G101" s="287"/>
      <c r="H101" s="287"/>
      <c r="I101" s="287"/>
      <c r="J101" s="287"/>
      <c r="K101" s="287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I101" s="97"/>
      <c r="AL101" s="17" t="s">
        <v>190</v>
      </c>
      <c r="AM101" s="7" t="str">
        <f>IFERROR((VLOOKUP(AM100,Produkty!A107:B154,2,0)),Překlady!C143)</f>
        <v>Led pásek dle zadaných parametrů nemáme v nabídce</v>
      </c>
      <c r="AN101" s="7" t="e">
        <f>VLOOKUP(AM100,Produkty!A107:C154,3,0)</f>
        <v>#N/A</v>
      </c>
    </row>
    <row r="102" spans="1:56" x14ac:dyDescent="0.25">
      <c r="B102" s="104"/>
      <c r="Z102" s="278"/>
      <c r="AA102" s="278"/>
      <c r="AB102" s="278"/>
      <c r="AC102" s="182"/>
      <c r="AE102" s="140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56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56" x14ac:dyDescent="0.25">
      <c r="AL104" s="17" t="s">
        <v>5780</v>
      </c>
      <c r="AM104" s="7" t="e">
        <f>VLOOKUP(G112,Ses1_pom!A58:D108,Sestava1!AN104,0)*IF(W112="",1,W112)</f>
        <v>#N/A</v>
      </c>
      <c r="AN104" s="7">
        <f>IF(G89="12V",3,4)</f>
        <v>4</v>
      </c>
    </row>
    <row r="105" spans="1:56" ht="15.75" thickBot="1" x14ac:dyDescent="0.3">
      <c r="BB105" s="17" t="s">
        <v>191</v>
      </c>
      <c r="BC105" s="7" t="str" cm="1">
        <f t="array" ref="BC105">IF(W110=Překlady!C93,RJ_kineticke,IF(OR(G112=Produkty!B220,G112=Produkty!B221),RJ_bat,IF(G112=Produkty!B225,Produkty!B231,"")))</f>
        <v/>
      </c>
      <c r="BD105" s="140" t="s">
        <v>192</v>
      </c>
    </row>
    <row r="106" spans="1:56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</row>
    <row r="107" spans="1:56" ht="15" customHeight="1" x14ac:dyDescent="0.25">
      <c r="B107" s="246" t="str">
        <f>Překlady!C100</f>
        <v>Ovládání:</v>
      </c>
      <c r="C107" s="247"/>
      <c r="D107" s="247"/>
      <c r="E107" s="247"/>
      <c r="AD107" s="210" t="str">
        <f>Překlady!C103&amp;" "&amp;Překlady!C104&amp;":"</f>
        <v>Přehled ovladačů zde:</v>
      </c>
      <c r="AE107" s="210"/>
      <c r="AF107" s="210"/>
      <c r="AG107" s="211"/>
      <c r="AI107" s="97"/>
      <c r="AL107" s="7" t="s">
        <v>193</v>
      </c>
      <c r="AM107" s="7" t="str">
        <f>IFERROR((VLOOKUP(AQ107,Ses1_pom!$A$37:$B$55,2,0)),"")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194</v>
      </c>
      <c r="AX107" s="7" t="s">
        <v>195</v>
      </c>
    </row>
    <row r="108" spans="1:56" ht="15" customHeight="1" x14ac:dyDescent="0.25">
      <c r="B108" s="246"/>
      <c r="C108" s="247"/>
      <c r="D108" s="247"/>
      <c r="E108" s="247"/>
      <c r="AD108" s="210"/>
      <c r="AE108" s="210"/>
      <c r="AF108" s="210"/>
      <c r="AG108" s="211"/>
      <c r="AI108" s="97"/>
      <c r="AM108" s="7" t="str">
        <f>IFERROR((VLOOKUP(AQ108,Ses1_pom!$A$37:$B$55,2,0)),"")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</row>
    <row r="109" spans="1:56" x14ac:dyDescent="0.25">
      <c r="B109" s="104"/>
      <c r="AI109" s="97"/>
      <c r="AM109" s="7" t="str">
        <f>IFERROR((VLOOKUP(AQ109,Ses1_pom!$A$37:$B$55,2,0)),"")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</row>
    <row r="110" spans="1:56" ht="15.75" x14ac:dyDescent="0.25">
      <c r="B110" s="249" t="str">
        <f>Překlady!C89</f>
        <v>Způsob ovládání sestavy:</v>
      </c>
      <c r="C110" s="250"/>
      <c r="D110" s="250"/>
      <c r="E110" s="250"/>
      <c r="G110" s="281"/>
      <c r="H110" s="281"/>
      <c r="I110" s="281"/>
      <c r="J110" s="281"/>
      <c r="K110" s="281"/>
      <c r="L110" s="281"/>
      <c r="M110" s="281"/>
      <c r="N110" s="281"/>
      <c r="O110" s="281"/>
      <c r="Q110" s="215" t="str">
        <f>IF(G110=Překlady!C87,Překlady!C92,"")</f>
        <v/>
      </c>
      <c r="R110" s="215"/>
      <c r="S110" s="215"/>
      <c r="T110" s="215"/>
      <c r="U110" s="215"/>
      <c r="W110" s="306"/>
      <c r="X110" s="306"/>
      <c r="Y110" s="183"/>
      <c r="Z110" s="184"/>
      <c r="AA110" s="184"/>
      <c r="AB110" s="184"/>
      <c r="AI110" s="97"/>
      <c r="AM110" s="7" t="str">
        <f>IFERROR((VLOOKUP(AQ110,Ses1_pom!$A$37:$B$55,2,0)),"")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IF(AND(G110=Překlady!C87,OR(Sestava1!W110=Překlady!C93,W110=Překlady!C94)),1,2)</f>
        <v>2</v>
      </c>
    </row>
    <row r="111" spans="1:56" x14ac:dyDescent="0.25">
      <c r="B111" s="104"/>
      <c r="AI111" s="97"/>
      <c r="AM111" s="7" t="str">
        <f>IFERROR((VLOOKUP(AQ111,Ses1_pom!$A$37:$B$55,2,0)),"")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6575</v>
      </c>
      <c r="BC111" s="7" t="str">
        <f>IF(AND(ISBLANK(G114)=FALSE,$BD$106=1),Překlady!C97,"")</f>
        <v/>
      </c>
    </row>
    <row r="112" spans="1:56" ht="15.75" customHeight="1" x14ac:dyDescent="0.25">
      <c r="B112" s="277" t="str">
        <f>IF(AY112=1,Překlady!C90,"")</f>
        <v/>
      </c>
      <c r="C112" s="215"/>
      <c r="D112" s="215"/>
      <c r="E112" s="215"/>
      <c r="G112" s="279"/>
      <c r="H112" s="279"/>
      <c r="I112" s="279"/>
      <c r="J112" s="279"/>
      <c r="K112" s="279"/>
      <c r="L112" s="279"/>
      <c r="M112" s="279"/>
      <c r="N112" s="279"/>
      <c r="O112" s="279"/>
      <c r="P112" s="185"/>
      <c r="Q112" s="215" t="str">
        <f>IF(AL113=1,Překlady!C96,"")</f>
        <v/>
      </c>
      <c r="R112" s="215"/>
      <c r="S112" s="215"/>
      <c r="T112" s="215"/>
      <c r="U112" s="215"/>
      <c r="W112" s="287"/>
      <c r="X112" s="287"/>
      <c r="Y112" s="50"/>
      <c r="Z112" s="288" t="str">
        <f>IF(AL132=1,Překlady!C128,"")</f>
        <v/>
      </c>
      <c r="AA112" s="288"/>
      <c r="AB112" s="288"/>
      <c r="AC112" s="288"/>
      <c r="AD112" s="288"/>
      <c r="AE112" s="288"/>
      <c r="AG112" s="117"/>
      <c r="AI112" s="97"/>
      <c r="AM112" s="7" t="str">
        <f>IFERROR((VLOOKUP(AQ112,Ses1_pom!$A$37:$B$55,2,0)),"")</f>
        <v/>
      </c>
      <c r="AN112" s="7">
        <v>6</v>
      </c>
      <c r="AQ112" s="7" t="str">
        <f t="shared" si="0"/>
        <v>_6</v>
      </c>
      <c r="AW112" s="169"/>
      <c r="AX112" s="186" t="s">
        <v>198</v>
      </c>
      <c r="AY112" s="169" t="str">
        <f>IFERROR((VLOOKUP(G110,AX108:AY111,2,0)),"")</f>
        <v/>
      </c>
      <c r="BC112" s="7" t="str">
        <f>IF(AND(ISBLANK(G114)=FALSE,$BD$106=1),Překlady!C98,"")</f>
        <v/>
      </c>
    </row>
    <row r="113" spans="2:50" x14ac:dyDescent="0.25">
      <c r="B113" s="104"/>
      <c r="AI113" s="97"/>
      <c r="AK113" s="140" t="s">
        <v>199</v>
      </c>
      <c r="AL113" s="50">
        <f>IF(AY112=1,IF(OR(AL64=1,AL65=1),1,2),2)</f>
        <v>2</v>
      </c>
      <c r="AM113" s="7" t="str">
        <f>IFERROR((VLOOKUP(AQ113,Ses1_pom!$A$37:$B$55,2,0)),"")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277" t="str">
        <f>Překlady!C95</f>
        <v>Jednotka:</v>
      </c>
      <c r="C114" s="215"/>
      <c r="D114" s="215"/>
      <c r="E114" s="215"/>
      <c r="F114" s="187"/>
      <c r="G114" s="302"/>
      <c r="H114" s="302"/>
      <c r="I114" s="302"/>
      <c r="J114" s="302"/>
      <c r="K114" s="302"/>
      <c r="L114" s="302"/>
      <c r="M114" s="302"/>
      <c r="N114" s="302"/>
      <c r="O114" s="302"/>
      <c r="Q114" s="303" t="str">
        <f>IF($BD$106=1,Překlady!C102,"")</f>
        <v/>
      </c>
      <c r="R114" s="303"/>
      <c r="S114" s="303"/>
      <c r="T114" s="303"/>
      <c r="U114" s="303"/>
      <c r="W114" s="214"/>
      <c r="X114" s="214"/>
      <c r="Y114" s="214"/>
      <c r="Z114" s="214"/>
      <c r="AA114" s="214"/>
      <c r="AB114" s="214"/>
      <c r="AC114" s="214"/>
      <c r="AI114" s="97"/>
      <c r="AK114" s="140" t="s">
        <v>200</v>
      </c>
      <c r="AL114" s="7">
        <f>IF(OR(AL115=1,AL116=1),1,2)</f>
        <v>2</v>
      </c>
      <c r="AM114" s="7" t="str">
        <f>IFERROR((VLOOKUP(AQ114,Ses1_pom!$A$37:$B$55,2,0)),"")</f>
        <v/>
      </c>
      <c r="AN114" s="7">
        <v>8</v>
      </c>
      <c r="AQ114" s="7" t="str">
        <f t="shared" si="0"/>
        <v>_8</v>
      </c>
    </row>
    <row r="115" spans="2:50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IFERROR((VLOOKUP(AQ115,Ses1_pom!$A$37:$B$55,2,0)),"")</f>
        <v/>
      </c>
      <c r="AN115" s="7">
        <v>9</v>
      </c>
      <c r="AQ115" s="7" t="str">
        <f t="shared" si="0"/>
        <v>_9</v>
      </c>
    </row>
    <row r="116" spans="2:50" x14ac:dyDescent="0.25">
      <c r="B116" s="104"/>
      <c r="C116" s="258" t="str">
        <f>IF(ISBLANK(G114)=FALSE,IF(AM120&gt;AM104,Překlady!C121,""),"")</f>
        <v/>
      </c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R116" s="17"/>
      <c r="AI116" s="97"/>
      <c r="AL116" s="7">
        <f>IF(W110=Překlady!C94,IF(G112=Produkty!B220,1,2),2)</f>
        <v>2</v>
      </c>
      <c r="AM116" s="7" t="str">
        <f>IFERROR((VLOOKUP(AQ116,Ses1_pom!$A$37:$B$55,2,0)),"")</f>
        <v/>
      </c>
      <c r="AN116" s="7">
        <v>10</v>
      </c>
      <c r="AQ116" s="7" t="str">
        <f t="shared" si="0"/>
        <v>_10</v>
      </c>
    </row>
    <row r="117" spans="2:50" x14ac:dyDescent="0.25">
      <c r="B117" s="104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R117" s="17"/>
      <c r="AI117" s="97"/>
      <c r="AX117" s="7" t="s">
        <v>201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202</v>
      </c>
    </row>
    <row r="119" spans="2:50" x14ac:dyDescent="0.25">
      <c r="B119" s="104"/>
      <c r="AI119" s="97"/>
      <c r="AL119" s="186" t="s">
        <v>203</v>
      </c>
      <c r="AM119" s="169" t="e">
        <f>VLOOKUP(G89,AL123:AM124,2,0)</f>
        <v>#N/A</v>
      </c>
      <c r="AX119" s="7" t="s">
        <v>204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205</v>
      </c>
      <c r="AM120" s="7" t="e">
        <f>(I72+I73+O72+O73)/1000*VLOOKUP(G98,Produkty!B107:M154,12,0)</f>
        <v>#N/A</v>
      </c>
    </row>
    <row r="121" spans="2:50" x14ac:dyDescent="0.25">
      <c r="B121" s="104"/>
      <c r="AI121" s="97"/>
      <c r="AL121" s="7" t="s">
        <v>206</v>
      </c>
      <c r="AM121" s="188">
        <v>0.3</v>
      </c>
    </row>
    <row r="122" spans="2:50" x14ac:dyDescent="0.25">
      <c r="B122" s="104"/>
      <c r="C122" s="294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6"/>
      <c r="AI122" s="97"/>
      <c r="AM122" s="7" t="e">
        <f>CEILING(AM120*(1+AM121),1)</f>
        <v>#N/A</v>
      </c>
    </row>
    <row r="123" spans="2:50" x14ac:dyDescent="0.25">
      <c r="B123" s="104"/>
      <c r="C123" s="29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98"/>
      <c r="AI123" s="97"/>
      <c r="AL123" s="7" t="s">
        <v>176</v>
      </c>
      <c r="AM123" s="7" t="e" cm="1">
        <f t="array" ref="AM123">INDEX(Produkty!M234:M239,MATCH(1,(Sestava1!AM122&gt;=Produkty!K234:K239)*(AM122&lt;=Produkty!L234:L239),0))</f>
        <v>#N/A</v>
      </c>
    </row>
    <row r="124" spans="2:50" x14ac:dyDescent="0.25">
      <c r="B124" s="104"/>
      <c r="C124" s="29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98"/>
      <c r="AI124" s="97"/>
      <c r="AL124" s="7" t="s">
        <v>207</v>
      </c>
      <c r="AM124" s="7" t="e" cm="1">
        <f t="array" ref="AM124">INDEX(Produkty!M243:M247,MATCH(1,(AM122&gt;=Produkty!K243:K247)*(AM122&lt;=Produkty!L243:L247),0))</f>
        <v>#N/A</v>
      </c>
    </row>
    <row r="125" spans="2:50" x14ac:dyDescent="0.25">
      <c r="B125" s="104"/>
      <c r="C125" s="29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98"/>
      <c r="AI125" s="97"/>
    </row>
    <row r="126" spans="2:50" ht="15" customHeight="1" x14ac:dyDescent="0.25">
      <c r="B126" s="104"/>
      <c r="C126" s="29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98"/>
      <c r="AI126" s="97"/>
    </row>
    <row r="127" spans="2:50" ht="15" customHeight="1" x14ac:dyDescent="0.25">
      <c r="B127" s="104"/>
      <c r="C127" s="299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1"/>
      <c r="AI127" s="97"/>
      <c r="AK127" s="140" t="s">
        <v>196</v>
      </c>
      <c r="AL127" s="140" t="e">
        <f>IF(G110=Překlady!C85,VLOOKUP(Ses1_pom!B5,Ses1_pom!B7:D22,3,0),VLOOKUP(Ses1_pom!B5,Ses1_pom!B7:C22,2,0))</f>
        <v>#N/A</v>
      </c>
    </row>
    <row r="128" spans="2:50" x14ac:dyDescent="0.25">
      <c r="B128" s="104"/>
      <c r="AI128" s="97"/>
      <c r="AL128" s="140"/>
    </row>
    <row r="129" spans="2:39" ht="21.6" customHeight="1" x14ac:dyDescent="0.3">
      <c r="B129" s="104"/>
      <c r="C129" s="193" t="str">
        <f>Překlady!C135</f>
        <v>Pro pokračování vyplňte pole Počet sestav níže.</v>
      </c>
      <c r="AI129" s="97"/>
      <c r="AL129" s="140" t="e">
        <f>IF(AL127=1,1,IF(AL127=2,2,IF(AL127=3,1,"")))</f>
        <v>#N/A</v>
      </c>
    </row>
    <row r="130" spans="2:39" ht="28.15" customHeight="1" x14ac:dyDescent="0.25">
      <c r="B130" s="290" t="str">
        <f>Překlady!C131</f>
        <v>Počet sestav:</v>
      </c>
      <c r="C130" s="291"/>
      <c r="D130" s="291"/>
      <c r="E130" s="291"/>
      <c r="G130" s="292"/>
      <c r="H130" s="292"/>
      <c r="I130" s="292"/>
      <c r="K130" s="293" t="str">
        <f>IF(AM130=TRUE,Překlady!$C$105,"")</f>
        <v/>
      </c>
      <c r="L130" s="293"/>
      <c r="M130" s="293"/>
      <c r="N130" s="293"/>
      <c r="R130" s="289" t="str">
        <f>Překlady!$C$11&amp;" 2"</f>
        <v>Sestava 2</v>
      </c>
      <c r="S130" s="289"/>
      <c r="T130" s="289"/>
      <c r="U130" s="289"/>
      <c r="W130" s="289" t="str">
        <f>Překlady!$C$11&amp;" 3"</f>
        <v>Sestava 3</v>
      </c>
      <c r="X130" s="289"/>
      <c r="Y130" s="289"/>
      <c r="Z130" s="289"/>
      <c r="AA130" s="192"/>
      <c r="AC130" s="289" t="str">
        <f>Překlady!$C$11&amp;" 4"</f>
        <v>Sestava 4</v>
      </c>
      <c r="AD130" s="289"/>
      <c r="AE130" s="289"/>
      <c r="AF130" s="289"/>
      <c r="AI130" s="97"/>
      <c r="AL130" s="140" t="e">
        <f>IF(AL127=3,2,"")</f>
        <v>#N/A</v>
      </c>
      <c r="AM130" s="7" t="b">
        <f>G130&lt;&gt;""</f>
        <v>0</v>
      </c>
    </row>
    <row r="131" spans="2:39" x14ac:dyDescent="0.25">
      <c r="B131" s="104"/>
      <c r="AI131" s="97"/>
      <c r="AL131" s="140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40" t="s">
        <v>5830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idden="1" x14ac:dyDescent="0.25">
      <c r="P138" s="189"/>
      <c r="Q138" s="18"/>
      <c r="R138" s="18"/>
      <c r="S138" s="18"/>
      <c r="T138" s="18"/>
      <c r="U138" s="18"/>
      <c r="V138" s="18"/>
      <c r="W138" s="18"/>
    </row>
    <row r="139" spans="2:39" hidden="1" x14ac:dyDescent="0.25">
      <c r="P139" s="189"/>
      <c r="Q139" s="18"/>
      <c r="R139" s="18"/>
      <c r="S139" s="18"/>
      <c r="T139" s="18"/>
      <c r="U139" s="18"/>
      <c r="V139" s="18"/>
      <c r="W139" s="18"/>
    </row>
    <row r="140" spans="2:39" hidden="1" x14ac:dyDescent="0.25">
      <c r="P140" s="190"/>
      <c r="Q140" s="141"/>
      <c r="R140" s="141"/>
      <c r="S140" s="141"/>
      <c r="T140" s="141"/>
      <c r="U140" s="141"/>
      <c r="V140" s="141"/>
      <c r="W140" s="141"/>
    </row>
    <row r="147" spans="3:3" hidden="1" x14ac:dyDescent="0.25">
      <c r="C147" s="140"/>
    </row>
  </sheetData>
  <sheetProtection algorithmName="SHA-512" hashValue="CbjTaTSxLpUsVZUclVsV0rkVHP+5LIylrHL3ANclXuuVvBbolHNMrTXT9+95xiL1c9TOvNcg3oh9EjOFGChN8g==" saltValue="83zp8uCLeZW1YJyhRzyCUQ==" spinCount="100000" sheet="1" objects="1" scenarios="1"/>
  <mergeCells count="134">
    <mergeCell ref="B101:E101"/>
    <mergeCell ref="B95:E95"/>
    <mergeCell ref="G21:O21"/>
    <mergeCell ref="B110:E110"/>
    <mergeCell ref="U29:X29"/>
    <mergeCell ref="Z12:AI12"/>
    <mergeCell ref="Z13:AI19"/>
    <mergeCell ref="Z20:AI26"/>
    <mergeCell ref="W110:X110"/>
    <mergeCell ref="G18:O18"/>
    <mergeCell ref="G20:O20"/>
    <mergeCell ref="Q30:T36"/>
    <mergeCell ref="U30:X36"/>
    <mergeCell ref="Q37:X44"/>
    <mergeCell ref="G24:O24"/>
    <mergeCell ref="Q28:X28"/>
    <mergeCell ref="O72:P72"/>
    <mergeCell ref="G67:K67"/>
    <mergeCell ref="M65:O65"/>
    <mergeCell ref="G101:K101"/>
    <mergeCell ref="G29:O29"/>
    <mergeCell ref="B21:E21"/>
    <mergeCell ref="B23:E23"/>
    <mergeCell ref="B25:E25"/>
    <mergeCell ref="AC130:AF130"/>
    <mergeCell ref="R130:U130"/>
    <mergeCell ref="B130:E130"/>
    <mergeCell ref="G130:I130"/>
    <mergeCell ref="K130:N130"/>
    <mergeCell ref="W130:Z130"/>
    <mergeCell ref="C122:AF127"/>
    <mergeCell ref="C116:O117"/>
    <mergeCell ref="B114:E114"/>
    <mergeCell ref="G114:O114"/>
    <mergeCell ref="Q114:U114"/>
    <mergeCell ref="B112:E112"/>
    <mergeCell ref="B98:E98"/>
    <mergeCell ref="B38:E38"/>
    <mergeCell ref="B107:E108"/>
    <mergeCell ref="G95:K95"/>
    <mergeCell ref="Z102:AB102"/>
    <mergeCell ref="G112:O112"/>
    <mergeCell ref="M85:T85"/>
    <mergeCell ref="U85:AE85"/>
    <mergeCell ref="G93:K93"/>
    <mergeCell ref="G110:O110"/>
    <mergeCell ref="M86:T92"/>
    <mergeCell ref="U86:AE92"/>
    <mergeCell ref="B69:E69"/>
    <mergeCell ref="I72:K72"/>
    <mergeCell ref="B72:E72"/>
    <mergeCell ref="B57:E59"/>
    <mergeCell ref="B73:E74"/>
    <mergeCell ref="B85:E86"/>
    <mergeCell ref="G98:P99"/>
    <mergeCell ref="G38:O38"/>
    <mergeCell ref="W112:X112"/>
    <mergeCell ref="Q112:U112"/>
    <mergeCell ref="Z112:AE112"/>
    <mergeCell ref="U94:AE94"/>
    <mergeCell ref="B89:E89"/>
    <mergeCell ref="B91:E91"/>
    <mergeCell ref="B93:E93"/>
    <mergeCell ref="G91:K91"/>
    <mergeCell ref="G89:K89"/>
    <mergeCell ref="I73:K73"/>
    <mergeCell ref="G65:K65"/>
    <mergeCell ref="O73:P73"/>
    <mergeCell ref="G69:K69"/>
    <mergeCell ref="P65:Q65"/>
    <mergeCell ref="B34:E34"/>
    <mergeCell ref="B36:E36"/>
    <mergeCell ref="B31:E31"/>
    <mergeCell ref="AP29:AP30"/>
    <mergeCell ref="G30:O30"/>
    <mergeCell ref="Y57:Y58"/>
    <mergeCell ref="Z37:AI53"/>
    <mergeCell ref="AN71:AN72"/>
    <mergeCell ref="AM71:AM72"/>
    <mergeCell ref="AL60:AL61"/>
    <mergeCell ref="AC71:AC72"/>
    <mergeCell ref="AC64:AC65"/>
    <mergeCell ref="G63:K63"/>
    <mergeCell ref="G23:O23"/>
    <mergeCell ref="Q20:X26"/>
    <mergeCell ref="Q29:T29"/>
    <mergeCell ref="G27:O27"/>
    <mergeCell ref="G31:O32"/>
    <mergeCell ref="G34:O34"/>
    <mergeCell ref="G36:O36"/>
    <mergeCell ref="BM61:BM62"/>
    <mergeCell ref="BN61:BN62"/>
    <mergeCell ref="BT58:BT62"/>
    <mergeCell ref="BU58:BU62"/>
    <mergeCell ref="BV58:BV62"/>
    <mergeCell ref="BW58:BW62"/>
    <mergeCell ref="BX58:BX62"/>
    <mergeCell ref="BY58:BY62"/>
    <mergeCell ref="BZ58:BZ62"/>
    <mergeCell ref="CA58:CA62"/>
    <mergeCell ref="Z2:AI3"/>
    <mergeCell ref="Z11:AI11"/>
    <mergeCell ref="BR61:BR62"/>
    <mergeCell ref="BS58:BS62"/>
    <mergeCell ref="Z28:AI28"/>
    <mergeCell ref="Z29:AI29"/>
    <mergeCell ref="Z30:AI36"/>
    <mergeCell ref="BO61:BO62"/>
    <mergeCell ref="BP61:BP62"/>
    <mergeCell ref="BQ61:BQ62"/>
    <mergeCell ref="AD107:AG108"/>
    <mergeCell ref="S57:U57"/>
    <mergeCell ref="U95:AE101"/>
    <mergeCell ref="W114:AC114"/>
    <mergeCell ref="Q110:U110"/>
    <mergeCell ref="E2:Y3"/>
    <mergeCell ref="B5:E6"/>
    <mergeCell ref="N5:Q6"/>
    <mergeCell ref="Q11:X11"/>
    <mergeCell ref="Q12:T12"/>
    <mergeCell ref="U12:X12"/>
    <mergeCell ref="Q13:T19"/>
    <mergeCell ref="U13:X19"/>
    <mergeCell ref="G15:O15"/>
    <mergeCell ref="G17:O17"/>
    <mergeCell ref="G19:O19"/>
    <mergeCell ref="H5:L6"/>
    <mergeCell ref="S5:W6"/>
    <mergeCell ref="B11:E12"/>
    <mergeCell ref="B15:E15"/>
    <mergeCell ref="B17:E17"/>
    <mergeCell ref="B19:E19"/>
    <mergeCell ref="B27:E27"/>
    <mergeCell ref="G25:O25"/>
  </mergeCells>
  <phoneticPr fontId="21" type="noConversion"/>
  <conditionalFormatting sqref="B101">
    <cfRule type="expression" dxfId="268" priority="21">
      <formula>$A$101=1</formula>
    </cfRule>
  </conditionalFormatting>
  <conditionalFormatting sqref="B114">
    <cfRule type="expression" dxfId="267" priority="36">
      <formula>$BD$106=1</formula>
    </cfRule>
  </conditionalFormatting>
  <conditionalFormatting sqref="B5:E6">
    <cfRule type="cellIs" dxfId="266" priority="4" operator="equal">
      <formula>$E$2</formula>
    </cfRule>
  </conditionalFormatting>
  <conditionalFormatting sqref="B112:E112">
    <cfRule type="expression" dxfId="265" priority="31">
      <formula>$AY$112=1</formula>
    </cfRule>
  </conditionalFormatting>
  <conditionalFormatting sqref="C116:O117">
    <cfRule type="notContainsBlanks" dxfId="264" priority="17">
      <formula>LEN(TRIM(C116))&gt;0</formula>
    </cfRule>
  </conditionalFormatting>
  <conditionalFormatting sqref="G18">
    <cfRule type="notContainsBlanks" dxfId="263" priority="28">
      <formula>LEN(TRIM(G18))&gt;0</formula>
    </cfRule>
  </conditionalFormatting>
  <conditionalFormatting sqref="G29">
    <cfRule type="expression" dxfId="262" priority="132">
      <formula>ISNUMBER($G$27)</formula>
    </cfRule>
  </conditionalFormatting>
  <conditionalFormatting sqref="G73">
    <cfRule type="expression" dxfId="261" priority="16">
      <formula>$AM$60=2</formula>
    </cfRule>
  </conditionalFormatting>
  <conditionalFormatting sqref="G112">
    <cfRule type="expression" dxfId="260" priority="38">
      <formula>$AY$112=1</formula>
    </cfRule>
  </conditionalFormatting>
  <conditionalFormatting sqref="G114">
    <cfRule type="expression" dxfId="259" priority="35">
      <formula>$BD$106=1</formula>
    </cfRule>
  </conditionalFormatting>
  <conditionalFormatting sqref="G101:K101">
    <cfRule type="expression" dxfId="258" priority="20">
      <formula>$A$101=1</formula>
    </cfRule>
  </conditionalFormatting>
  <conditionalFormatting sqref="G20:O20">
    <cfRule type="notContainsBlanks" dxfId="257" priority="27">
      <formula>LEN(TRIM(G20))&gt;0</formula>
    </cfRule>
  </conditionalFormatting>
  <conditionalFormatting sqref="G30:O30">
    <cfRule type="notContainsBlanks" dxfId="255" priority="25">
      <formula>LEN(TRIM(G30))&gt;0</formula>
    </cfRule>
  </conditionalFormatting>
  <conditionalFormatting sqref="H5:L6">
    <cfRule type="cellIs" dxfId="253" priority="3" operator="equal">
      <formula>$E$2</formula>
    </cfRule>
  </conditionalFormatting>
  <conditionalFormatting sqref="I73:K73">
    <cfRule type="expression" dxfId="252" priority="15">
      <formula>$AM$60=2</formula>
    </cfRule>
  </conditionalFormatting>
  <conditionalFormatting sqref="K130:N130 R130 W130 AC130">
    <cfRule type="expression" dxfId="251" priority="135">
      <formula>$AM$130=TRUE</formula>
    </cfRule>
  </conditionalFormatting>
  <conditionalFormatting sqref="M72">
    <cfRule type="expression" dxfId="250" priority="14">
      <formula>$AW$73=1</formula>
    </cfRule>
  </conditionalFormatting>
  <conditionalFormatting sqref="M73">
    <cfRule type="expression" dxfId="249" priority="12">
      <formula>$AW$74=1</formula>
    </cfRule>
  </conditionalFormatting>
  <conditionalFormatting sqref="M65:N65">
    <cfRule type="expression" dxfId="248" priority="109">
      <formula>AW63=1</formula>
    </cfRule>
  </conditionalFormatting>
  <conditionalFormatting sqref="N5:Q6">
    <cfRule type="cellIs" dxfId="247" priority="2" operator="equal">
      <formula>$E$2</formula>
    </cfRule>
  </conditionalFormatting>
  <conditionalFormatting sqref="O65">
    <cfRule type="expression" dxfId="246" priority="118">
      <formula>#REF!=1</formula>
    </cfRule>
  </conditionalFormatting>
  <conditionalFormatting sqref="O72:P72">
    <cfRule type="expression" dxfId="245" priority="13">
      <formula>$AW$73=1</formula>
    </cfRule>
  </conditionalFormatting>
  <conditionalFormatting sqref="O73:P73">
    <cfRule type="expression" dxfId="244" priority="11">
      <formula>$AW$74=1</formula>
    </cfRule>
  </conditionalFormatting>
  <conditionalFormatting sqref="P65:Q65">
    <cfRule type="expression" dxfId="243" priority="108">
      <formula>AW63=1</formula>
    </cfRule>
  </conditionalFormatting>
  <conditionalFormatting sqref="Q112">
    <cfRule type="expression" dxfId="241" priority="23">
      <formula>$AL$113=1</formula>
    </cfRule>
  </conditionalFormatting>
  <conditionalFormatting sqref="Q114">
    <cfRule type="expression" dxfId="240" priority="133">
      <formula>$BD$106=1</formula>
    </cfRule>
  </conditionalFormatting>
  <conditionalFormatting sqref="R65">
    <cfRule type="expression" dxfId="239" priority="120">
      <formula>#REF!=1</formula>
    </cfRule>
  </conditionalFormatting>
  <conditionalFormatting sqref="S62">
    <cfRule type="expression" dxfId="238" priority="104">
      <formula>$AS$66=1</formula>
    </cfRule>
  </conditionalFormatting>
  <conditionalFormatting sqref="S5:W6">
    <cfRule type="cellIs" dxfId="237" priority="1" operator="equal">
      <formula>$E$2</formula>
    </cfRule>
  </conditionalFormatting>
  <conditionalFormatting sqref="T60:T61">
    <cfRule type="expression" dxfId="236" priority="96">
      <formula>$AL$63=TRUE</formula>
    </cfRule>
  </conditionalFormatting>
  <conditionalFormatting sqref="T60:V60">
    <cfRule type="expression" dxfId="235" priority="97">
      <formula>$AL$63=TRUE</formula>
    </cfRule>
  </conditionalFormatting>
  <conditionalFormatting sqref="T62:AA62">
    <cfRule type="expression" dxfId="234" priority="112">
      <formula>$AL$63=TRUE</formula>
    </cfRule>
  </conditionalFormatting>
  <conditionalFormatting sqref="U60">
    <cfRule type="expression" dxfId="233" priority="61">
      <formula>$AM$60=2</formula>
    </cfRule>
  </conditionalFormatting>
  <conditionalFormatting sqref="V60:V61">
    <cfRule type="expression" dxfId="232" priority="60">
      <formula>$AM$60=2</formula>
    </cfRule>
  </conditionalFormatting>
  <conditionalFormatting sqref="W60">
    <cfRule type="expression" dxfId="231" priority="62">
      <formula>$AM$60=1</formula>
    </cfRule>
  </conditionalFormatting>
  <conditionalFormatting sqref="W62">
    <cfRule type="expression" dxfId="230" priority="107">
      <formula>$AM$60=2</formula>
    </cfRule>
    <cfRule type="expression" dxfId="229" priority="105">
      <formula>$AS$66=3</formula>
    </cfRule>
  </conditionalFormatting>
  <conditionalFormatting sqref="W112">
    <cfRule type="expression" dxfId="227" priority="19">
      <formula>$AL$113=1</formula>
    </cfRule>
  </conditionalFormatting>
  <conditionalFormatting sqref="W114">
    <cfRule type="expression" dxfId="226" priority="134">
      <formula>$BD$106=1</formula>
    </cfRule>
  </conditionalFormatting>
  <conditionalFormatting sqref="W60:AA60">
    <cfRule type="expression" dxfId="225" priority="66">
      <formula>$AM$60=1</formula>
    </cfRule>
  </conditionalFormatting>
  <conditionalFormatting sqref="X60:X61">
    <cfRule type="expression" dxfId="224" priority="55">
      <formula>$AM$60=2</formula>
    </cfRule>
  </conditionalFormatting>
  <conditionalFormatting sqref="X60:AA60">
    <cfRule type="expression" dxfId="223" priority="56">
      <formula>$AM$60=2</formula>
    </cfRule>
  </conditionalFormatting>
  <conditionalFormatting sqref="Y60">
    <cfRule type="expression" dxfId="222" priority="98">
      <formula>$AM$60=2</formula>
    </cfRule>
  </conditionalFormatting>
  <conditionalFormatting sqref="Z112:AE112">
    <cfRule type="expression" dxfId="221" priority="10">
      <formula>$AL$132=1</formula>
    </cfRule>
  </conditionalFormatting>
  <conditionalFormatting sqref="AA60:AA61">
    <cfRule type="expression" dxfId="220" priority="54">
      <formula>$AM$60=2</formula>
    </cfRule>
    <cfRule type="expression" dxfId="219" priority="95">
      <formula>$AM$60=1</formula>
    </cfRule>
  </conditionalFormatting>
  <conditionalFormatting sqref="AA63:AA74">
    <cfRule type="expression" dxfId="218" priority="111">
      <formula>$AL$64=1</formula>
    </cfRule>
  </conditionalFormatting>
  <conditionalFormatting sqref="AA68">
    <cfRule type="expression" dxfId="217" priority="100">
      <formula>$AS$66=6</formula>
    </cfRule>
    <cfRule type="expression" dxfId="216" priority="106">
      <formula>$AN$66=2</formula>
    </cfRule>
  </conditionalFormatting>
  <conditionalFormatting sqref="AA75">
    <cfRule type="expression" dxfId="215" priority="102">
      <formula>$AS$66=5</formula>
    </cfRule>
  </conditionalFormatting>
  <conditionalFormatting sqref="AB61">
    <cfRule type="expression" dxfId="214" priority="101">
      <formula>$AS$66=4</formula>
    </cfRule>
  </conditionalFormatting>
  <conditionalFormatting sqref="AB62">
    <cfRule type="expression" dxfId="213" priority="103">
      <formula>$AS$66=2</formula>
    </cfRule>
  </conditionalFormatting>
  <conditionalFormatting sqref="AB62:AC62">
    <cfRule type="expression" dxfId="212" priority="59">
      <formula>$AL$64=1</formula>
    </cfRule>
  </conditionalFormatting>
  <conditionalFormatting sqref="AB67:AC67">
    <cfRule type="expression" dxfId="211" priority="46">
      <formula>$AM$61=2</formula>
    </cfRule>
  </conditionalFormatting>
  <conditionalFormatting sqref="AB69:AC69">
    <cfRule type="expression" dxfId="210" priority="84">
      <formula>$AM$61=2</formula>
    </cfRule>
  </conditionalFormatting>
  <conditionalFormatting sqref="AB74:AC74">
    <cfRule type="expression" dxfId="209" priority="83">
      <formula>$AL$64=1</formula>
    </cfRule>
  </conditionalFormatting>
  <conditionalFormatting sqref="AC62:AC67">
    <cfRule type="expression" dxfId="208" priority="45">
      <formula>$AM$61=1</formula>
    </cfRule>
    <cfRule type="expression" dxfId="207" priority="48">
      <formula>$AM$61=2</formula>
    </cfRule>
  </conditionalFormatting>
  <conditionalFormatting sqref="AC68">
    <cfRule type="expression" dxfId="206" priority="44">
      <formula>$AM$61=1</formula>
    </cfRule>
  </conditionalFormatting>
  <conditionalFormatting sqref="AC69:AC74">
    <cfRule type="expression" dxfId="205" priority="42">
      <formula>$AL$64=1</formula>
    </cfRule>
  </conditionalFormatting>
  <conditionalFormatting sqref="AC71:AC72">
    <cfRule type="expression" dxfId="204" priority="41">
      <formula>$AM$61=2</formula>
    </cfRule>
  </conditionalFormatting>
  <conditionalFormatting sqref="AG112">
    <cfRule type="expression" dxfId="203" priority="9">
      <formula>$AL$132=1</formula>
    </cfRule>
  </conditionalFormatting>
  <dataValidations count="22">
    <dataValidation type="list" allowBlank="1" showInputMessage="1" showErrorMessage="1" sqref="G67:K67" xr:uid="{5E4C2B8B-C018-46C2-8CA7-AAC6A9DD70DD}">
      <formula1>$AL$71:$AL$74</formula1>
    </dataValidation>
    <dataValidation type="list" allowBlank="1" showInputMessage="1" showErrorMessage="1" sqref="P65:Q65" xr:uid="{A85DBC7E-922D-435B-8C83-4CCA6CEFF1B6}">
      <formula1>$AL$71:$AL$72</formula1>
    </dataValidation>
    <dataValidation type="list" allowBlank="1" showInputMessage="1" showErrorMessage="1" sqref="G89" xr:uid="{4DF826E3-3A25-4562-A5FB-C2DC2D4261BB}">
      <formula1>"12V,24V"</formula1>
    </dataValidation>
    <dataValidation type="list" allowBlank="1" showInputMessage="1" showErrorMessage="1" sqref="G91" xr:uid="{0D23FD43-AD76-4150-91EC-FBF3CA4A1AC2}">
      <formula1>$AM$85:$AM$87</formula1>
    </dataValidation>
    <dataValidation type="list" allowBlank="1" showInputMessage="1" showErrorMessage="1" sqref="G93" xr:uid="{EAD46D2C-0353-4CCC-A315-0E54807C0AC5}">
      <formula1>INDIRECT($AM$95)</formula1>
    </dataValidation>
    <dataValidation type="list" allowBlank="1" showInputMessage="1" showErrorMessage="1" sqref="G95" xr:uid="{9EE9633F-0FAF-4B46-A640-0A4B4C068BA8}">
      <formula1>INDIRECT($AM$90)</formula1>
    </dataValidation>
    <dataValidation type="list" allowBlank="1" showInputMessage="1" showErrorMessage="1" sqref="G98 Q98:T98" xr:uid="{6E700C7A-28A7-435F-9D86-A9768BE8103E}">
      <formula1>$AM$101:$AM$103</formula1>
    </dataValidation>
    <dataValidation type="whole" allowBlank="1" showInputMessage="1" showErrorMessage="1" sqref="G36 G23:O23 G27:O27" xr:uid="{BDDBCCD8-2738-4384-96F5-E28AEC32990C}">
      <formula1>1</formula1>
      <formula2>1000</formula2>
    </dataValidation>
    <dataValidation type="list" allowBlank="1" showInputMessage="1" showErrorMessage="1" sqref="G19" xr:uid="{4828A3F9-4D43-4509-8963-68441464D6DF}">
      <formula1>INDIRECT(AO15)</formula1>
    </dataValidation>
    <dataValidation type="list" allowBlank="1" showInputMessage="1" showErrorMessage="1" sqref="G17" xr:uid="{BCCEDB68-36BE-46FB-B630-A654B37843CF}">
      <formula1>$AO$19:$AO$21</formula1>
    </dataValidation>
    <dataValidation type="list" allowBlank="1" showInputMessage="1" showErrorMessage="1" sqref="G31" xr:uid="{39952B67-ACBB-498D-86CC-C3324835325E}">
      <formula1>INDIRECT($AN$25)</formula1>
    </dataValidation>
    <dataValidation type="list" allowBlank="1" showInputMessage="1" showErrorMessage="1" sqref="F35 G25:G26" xr:uid="{D7CFCFC5-0D5F-4414-A096-93E785E21246}">
      <formula1>$AO$27:$AO$28</formula1>
    </dataValidation>
    <dataValidation type="list" allowBlank="1" showInputMessage="1" showErrorMessage="1" sqref="G21" xr:uid="{24E403FF-7A33-488D-87E9-4588C54C8F3F}">
      <formula1>$AT$22:$AT$25</formula1>
    </dataValidation>
    <dataValidation type="list" allowBlank="1" showInputMessage="1" showErrorMessage="1" sqref="G34" xr:uid="{C9305F91-37DD-476F-A818-C935FFCFF69D}">
      <formula1>$AT$27:$AT$30</formula1>
    </dataValidation>
    <dataValidation type="list" allowBlank="1" showInputMessage="1" showErrorMessage="1" sqref="W110" xr:uid="{84EAABFC-133C-4634-86B8-872CDEA3ED40}">
      <formula1>$AT$106:$AT$107</formula1>
    </dataValidation>
    <dataValidation type="list" allowBlank="1" showInputMessage="1" showErrorMessage="1" sqref="G114" xr:uid="{4052F6C0-7394-4107-90CD-42A027932756}">
      <formula1>$BC$105:$BC$107</formula1>
    </dataValidation>
    <dataValidation type="list" allowBlank="1" showInputMessage="1" showErrorMessage="1" sqref="W114" xr:uid="{74A24020-FF16-44A8-BAFE-B656963AFA8B}">
      <formula1>$BC$111:$BC$112</formula1>
    </dataValidation>
    <dataValidation type="list" showInputMessage="1" showErrorMessage="1" sqref="W112:X112" xr:uid="{517258F6-E740-4E53-BB26-BD4A5676663A}">
      <formula1>$AL$129:$AL$130</formula1>
    </dataValidation>
    <dataValidation type="list" allowBlank="1" showInputMessage="1" showErrorMessage="1" sqref="AG112" xr:uid="{8DA14F57-FE5C-422F-BD96-A12D29DD5F2C}">
      <formula1>$AM$132:$AM$133</formula1>
    </dataValidation>
    <dataValidation type="whole" allowBlank="1" showInputMessage="1" showErrorMessage="1" sqref="G130:I130" xr:uid="{E6FD49B3-829F-4ED1-896D-5C2040AFACDA}">
      <formula1>1</formula1>
      <formula2>999</formula2>
    </dataValidation>
    <dataValidation type="list" allowBlank="1" showInputMessage="1" showErrorMessage="1" sqref="G63:K63" xr:uid="{E3C72504-BC12-42A3-B194-0236FCEBB65F}">
      <formula1>$AL$36:$AL$37</formula1>
    </dataValidation>
    <dataValidation type="list" allowBlank="1" showInputMessage="1" showErrorMessage="1" sqref="G65:K65" xr:uid="{09C037FE-6EC2-4CCC-B290-F5FD1C948FE5}">
      <formula1>$AL$38:$AL$39</formula1>
    </dataValidation>
  </dataValidations>
  <hyperlinks>
    <hyperlink ref="Z2:AB3" location="Úvod!A1" display="Úvod!A1" xr:uid="{D7426EBC-7F5A-4A00-A039-4028AF1BD1AC}"/>
    <hyperlink ref="AD107:AG108" location="Ovlad!A1" display="Ovlad!A1" xr:uid="{E9EC7BA3-43F2-4E8E-A838-5EF3D5978D54}"/>
    <hyperlink ref="K130:N130" location="souhrn!A1" display="souhrn!A1" xr:uid="{EEEAE9F1-3E3E-4154-B5AC-C076BD9C8931}"/>
    <hyperlink ref="H5:L6" location="Sestava2!A1" display="Sestava2!A1" xr:uid="{D8CFA6B5-41DA-4978-B865-DD2F3325C5A2}"/>
    <hyperlink ref="N5:Q6" location="Sestava3!A1" display="Sestava3!A1" xr:uid="{1D59C164-B5F9-4D2A-986E-B79C237BE79A}"/>
    <hyperlink ref="S5:W6" location="Sestava4!A1" display="Sestava4!A1" xr:uid="{13B8D4AA-862F-4EA1-A895-C0E967D21467}"/>
    <hyperlink ref="AC130:AD130" location="Sestava4!A1" display="Sestava4!A1" xr:uid="{F695A8C4-96F4-4F94-B1DE-46EE946DB5BD}"/>
    <hyperlink ref="R130:U130" location="Sestava2!A1" display="Sestava2!A1" xr:uid="{56FB9952-7D80-4E13-96D0-4155E98C5C77}"/>
    <hyperlink ref="W130:Z130" location="Sestava3!A1" display="Sestava3!A1" xr:uid="{D220A422-791B-4EA8-9C59-F22D966A045C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1" id="{80A357B8-916C-4B47-80A9-07DE21574C4E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B17 G17 B19 G19 B21 G21 B23 G25 B25:B27 E26:G26 G27 B31 G31 G34 B34:B36 E35:F35 AK46 J53:K53</xm:sqref>
        </x14:conditionalFormatting>
        <x14:conditionalFormatting xmlns:xm="http://schemas.microsoft.com/office/excel/2006/main">
          <x14:cfRule type="expression" priority="30" id="{6D2CA1E6-4A2A-4093-B7F8-E973E2D29F03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29" id="{29D89DCA-14C9-4A22-8D65-B06BA654F3B0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40" id="{527E5C40-E6B8-440F-BB42-B9F088B1A2B5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9" id="{D0F9BEB3-3BBA-499B-ABB7-DB5CD14A562F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3B13BE4-F796-4A26-B41C-73A07011D4E0}">
          <x14:formula1>
            <xm:f>'data-zál'!$B$3:$B$4</xm:f>
          </x14:formula1>
          <xm:sqref>G69:K69</xm:sqref>
        </x14:dataValidation>
        <x14:dataValidation type="list" allowBlank="1" showInputMessage="1" showErrorMessage="1" xr:uid="{883EE143-4C2D-4C8F-938D-93F89F3B55AF}">
          <x14:formula1>
            <xm:f>Překlady!$C$42:$C$45</xm:f>
          </x14:formula1>
          <xm:sqref>G15</xm:sqref>
        </x14:dataValidation>
        <x14:dataValidation type="list" allowBlank="1" showInputMessage="1" showErrorMessage="1" xr:uid="{93E919E3-06E3-499D-B1E6-11BD891AF4D2}">
          <x14:formula1>
            <xm:f>Překlady!$C$85:$C$88</xm:f>
          </x14:formula1>
          <xm:sqref>G110</xm:sqref>
        </x14:dataValidation>
        <x14:dataValidation type="list" allowBlank="1" showInputMessage="1" showErrorMessage="1" xr:uid="{47E757EC-024B-4C93-98C2-EDEADB979686}">
          <x14:formula1>
            <xm:f>Překlady!$C$106:$C$108</xm:f>
          </x14:formula1>
          <xm:sqref>G38:O38</xm:sqref>
        </x14:dataValidation>
        <x14:dataValidation type="list" allowBlank="1" showInputMessage="1" showErrorMessage="1" xr:uid="{AD4798D6-B8DD-4F7C-81A8-3EBFCE9CED03}">
          <x14:formula1>
            <xm:f>Překlady!$C$15:$C$16</xm:f>
          </x14:formula1>
          <xm:sqref>G101:K101</xm:sqref>
        </x14:dataValidation>
        <x14:dataValidation type="list" allowBlank="1" showInputMessage="1" showErrorMessage="1" xr:uid="{8C723A76-B81E-4333-9F2E-3A0F1332815F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A178-E29E-4985-A8EA-6E6EB7DBF40A}">
  <sheetPr codeName="List6">
    <tabColor theme="7" tint="0.79998168889431442"/>
  </sheetPr>
  <dimension ref="A1:BT108"/>
  <sheetViews>
    <sheetView workbookViewId="0">
      <selection activeCell="A57" sqref="A57:D108"/>
    </sheetView>
  </sheetViews>
  <sheetFormatPr defaultRowHeight="15" x14ac:dyDescent="0.25"/>
  <cols>
    <col min="1" max="1" width="16.7109375" customWidth="1"/>
    <col min="2" max="2" width="48.85546875" customWidth="1"/>
    <col min="3" max="3" width="12.5703125" customWidth="1"/>
    <col min="4" max="4" width="21" customWidth="1"/>
    <col min="5" max="5" width="10.42578125" bestFit="1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2" width="10.7109375" customWidth="1"/>
    <col min="13" max="13" width="10.85546875" customWidth="1"/>
    <col min="14" max="14" width="10.42578125" customWidth="1"/>
    <col min="19" max="19" width="11" customWidth="1"/>
    <col min="22" max="22" width="10.140625" bestFit="1" customWidth="1"/>
    <col min="25" max="25" width="14.85546875" customWidth="1"/>
    <col min="27" max="28" width="7" bestFit="1" customWidth="1"/>
    <col min="60" max="61" width="10.140625" bestFit="1" customWidth="1"/>
    <col min="62" max="62" width="12" customWidth="1"/>
    <col min="63" max="64" width="10.140625" bestFit="1" customWidth="1"/>
  </cols>
  <sheetData>
    <row r="1" spans="2:72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 t="e">
        <f>IF(AG23&gt;0,MAX($I$1:AF1)+1,0)</f>
        <v>#REF!</v>
      </c>
      <c r="AH1" t="e">
        <f>IF(AH23&gt;0,MAX($I$1:AG1)+1,0)</f>
        <v>#REF!</v>
      </c>
      <c r="AI1" t="e">
        <f>IF(AI23&gt;0,MAX($I$1:AH1)+1,0)</f>
        <v>#REF!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 t="e">
        <f>IF(AY23&gt;0,MAX($I$1:AX1)+1,0)</f>
        <v>#REF!</v>
      </c>
      <c r="AZ1" t="e">
        <f>IF(AZ23&gt;0,MAX($I$1:AY1)+1,0)</f>
        <v>#REF!</v>
      </c>
      <c r="BA1" t="e">
        <f>IF(BA23&gt;0,MAX($I$1:AZ1)+1,0)</f>
        <v>#REF!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</row>
    <row r="2" spans="2:72" ht="59.25" customHeight="1" x14ac:dyDescent="0.25">
      <c r="Y2" s="327" t="str">
        <f>Produkty!B214</f>
        <v>StrongLumio přijímač/rozvaděč pro bezdrátové samonapájecí vypínače 12/24V</v>
      </c>
      <c r="Z2" s="340" t="s">
        <v>5833</v>
      </c>
      <c r="AA2" s="327" t="str">
        <f>Produkty!B214</f>
        <v>StrongLumio přijímač/rozvaděč pro bezdrátové samonapájecí vypínače 12/24V</v>
      </c>
      <c r="AB2" s="335"/>
      <c r="AC2" s="338" t="s">
        <v>5834</v>
      </c>
      <c r="AD2" s="327" t="str">
        <f>Produkty!B215</f>
        <v>StrongLumio přijímač pro bezdrátové samonapájecí vypínače 12/24V (Wi-fi)</v>
      </c>
      <c r="AE2" s="335"/>
      <c r="AF2" s="338" t="s">
        <v>5833</v>
      </c>
      <c r="AG2" s="327" t="e">
        <f>Produkty!#REF!</f>
        <v>#REF!</v>
      </c>
      <c r="AH2" s="335"/>
      <c r="AI2" s="338" t="s">
        <v>5834</v>
      </c>
      <c r="AJ2" s="327" t="str">
        <f>Produkty!B220</f>
        <v>StrongLumio dálkový ovladač RF univerzální 2 v 1</v>
      </c>
      <c r="AK2" s="335"/>
      <c r="AL2" s="338" t="s">
        <v>5833</v>
      </c>
      <c r="AM2" s="327" t="str">
        <f>Produkty!B220</f>
        <v>StrongLumio dálkový ovladač RF univerzální 2 v 1</v>
      </c>
      <c r="AN2" s="335"/>
      <c r="AO2" s="338" t="s">
        <v>5834</v>
      </c>
      <c r="AP2" s="327" t="str">
        <f>Produkty!B221</f>
        <v>StrongLumio dálkový ovladač otočný DIM/CCT/RGB/RGBW - 1 zóna</v>
      </c>
      <c r="AQ2" s="335"/>
      <c r="AR2" s="338" t="s">
        <v>5833</v>
      </c>
      <c r="AS2" s="327" t="str">
        <f>Produkty!B221</f>
        <v>StrongLumio dálkový ovladač otočný DIM/CCT/RGB/RGBW - 1 zóna</v>
      </c>
      <c r="AT2" s="335"/>
      <c r="AU2" s="338" t="s">
        <v>5834</v>
      </c>
      <c r="AV2" s="327" t="str">
        <f>Produkty!B222</f>
        <v>StrongLumio Power dálkový ovladač/stmívač 1x25A</v>
      </c>
      <c r="AW2" s="335"/>
      <c r="AX2" s="338" t="s">
        <v>5833</v>
      </c>
      <c r="AY2" s="327" t="e">
        <f>Produkty!#REF!</f>
        <v>#REF!</v>
      </c>
      <c r="AZ2" s="335"/>
      <c r="BA2" s="352" t="s">
        <v>5834</v>
      </c>
      <c r="BB2" s="343" t="str">
        <f>Produkty!B223</f>
        <v>StrongLumio RF dálkový vypínač/stmívač 12V/24V</v>
      </c>
      <c r="BC2" s="344"/>
      <c r="BD2" s="347" t="s">
        <v>5833</v>
      </c>
      <c r="BE2" s="338"/>
      <c r="BF2" s="343" t="str">
        <f>Produkty!B223</f>
        <v>StrongLumio RF dálkový vypínač/stmívač 12V/24V</v>
      </c>
      <c r="BG2" s="344"/>
      <c r="BH2" s="347" t="s">
        <v>5834</v>
      </c>
      <c r="BI2" s="338"/>
      <c r="BJ2" s="349" t="str">
        <f>Produkty!B224</f>
        <v>StrongLumio RF dálkový ovladač/stmívač 12V/24V 1 zóna</v>
      </c>
      <c r="BK2" s="354" t="s">
        <v>5833</v>
      </c>
      <c r="BL2" s="343" t="str">
        <f>Produkty!B224</f>
        <v>StrongLumio RF dálkový ovladač/stmívač 12V/24V 1 zóna</v>
      </c>
      <c r="BM2" s="344"/>
      <c r="BN2" s="338" t="s">
        <v>5834</v>
      </c>
      <c r="BO2" s="349" t="str">
        <f>Produkty!B225</f>
        <v>StrongLumio bezdrátový nabíjecí dotykový vypínač/stmívač</v>
      </c>
      <c r="BP2" s="352" t="s">
        <v>5833</v>
      </c>
      <c r="BQ2" s="343" t="str">
        <f>Produkty!D225</f>
        <v>StrongLumio bezdrátový nabíjecí dotykový vypínač/stmívač</v>
      </c>
      <c r="BR2" s="344"/>
      <c r="BS2" s="338" t="s">
        <v>5834</v>
      </c>
    </row>
    <row r="3" spans="2:72" ht="15.75" thickBot="1" x14ac:dyDescent="0.3">
      <c r="D3" s="31" t="s">
        <v>5799</v>
      </c>
      <c r="E3" t="str">
        <f>IF(OR(Sestava1!G21=Sestava1!I72,Sestava1!G21=Sestava1!I73,Sestava1!G21=Sestava1!O72,Sestava1!G21=Sestava1!O73),"ano","ne")</f>
        <v>ano</v>
      </c>
      <c r="H3" t="s">
        <v>5823</v>
      </c>
      <c r="X3" s="325" t="s">
        <v>5832</v>
      </c>
      <c r="Y3" s="328"/>
      <c r="Z3" s="341"/>
      <c r="AA3" s="328"/>
      <c r="AB3" s="336"/>
      <c r="AC3" s="339"/>
      <c r="AD3" s="328"/>
      <c r="AE3" s="336"/>
      <c r="AF3" s="339"/>
      <c r="AG3" s="328"/>
      <c r="AH3" s="336"/>
      <c r="AI3" s="339"/>
      <c r="AJ3" s="328"/>
      <c r="AK3" s="336"/>
      <c r="AL3" s="339"/>
      <c r="AM3" s="328"/>
      <c r="AN3" s="336"/>
      <c r="AO3" s="339"/>
      <c r="AP3" s="328"/>
      <c r="AQ3" s="336"/>
      <c r="AR3" s="339"/>
      <c r="AS3" s="328"/>
      <c r="AT3" s="336"/>
      <c r="AU3" s="339"/>
      <c r="AV3" s="328"/>
      <c r="AW3" s="336"/>
      <c r="AX3" s="339"/>
      <c r="AY3" s="328"/>
      <c r="AZ3" s="336"/>
      <c r="BA3" s="353"/>
      <c r="BB3" s="345"/>
      <c r="BC3" s="346"/>
      <c r="BD3" s="348"/>
      <c r="BE3" s="339"/>
      <c r="BF3" s="345"/>
      <c r="BG3" s="346"/>
      <c r="BH3" s="348"/>
      <c r="BI3" s="339"/>
      <c r="BJ3" s="350"/>
      <c r="BK3" s="355"/>
      <c r="BL3" s="345"/>
      <c r="BM3" s="346"/>
      <c r="BN3" s="339"/>
      <c r="BO3" s="350"/>
      <c r="BP3" s="353"/>
      <c r="BQ3" s="345"/>
      <c r="BR3" s="346"/>
      <c r="BS3" s="339"/>
    </row>
    <row r="4" spans="2:72" ht="15.75" thickBot="1" x14ac:dyDescent="0.3">
      <c r="G4" s="334" t="str">
        <f>Překlady!C85</f>
        <v>v profilu</v>
      </c>
      <c r="H4" s="324"/>
      <c r="L4" s="27"/>
      <c r="X4" s="325"/>
      <c r="Y4" s="328"/>
      <c r="Z4" s="341"/>
      <c r="AA4" s="328"/>
      <c r="AB4" s="336"/>
      <c r="AC4" s="339"/>
      <c r="AD4" s="328"/>
      <c r="AE4" s="336"/>
      <c r="AF4" s="339"/>
      <c r="AG4" s="328"/>
      <c r="AH4" s="336"/>
      <c r="AI4" s="339"/>
      <c r="AJ4" s="328"/>
      <c r="AK4" s="336"/>
      <c r="AL4" s="339"/>
      <c r="AM4" s="328"/>
      <c r="AN4" s="336"/>
      <c r="AO4" s="339"/>
      <c r="AP4" s="328"/>
      <c r="AQ4" s="336"/>
      <c r="AR4" s="339"/>
      <c r="AS4" s="328"/>
      <c r="AT4" s="336"/>
      <c r="AU4" s="339"/>
      <c r="AV4" s="328"/>
      <c r="AW4" s="336"/>
      <c r="AX4" s="339"/>
      <c r="AY4" s="328"/>
      <c r="AZ4" s="336"/>
      <c r="BA4" s="353"/>
      <c r="BB4" s="345"/>
      <c r="BC4" s="346"/>
      <c r="BD4" s="348"/>
      <c r="BE4" s="339"/>
      <c r="BF4" s="345"/>
      <c r="BG4" s="346"/>
      <c r="BH4" s="348"/>
      <c r="BI4" s="339"/>
      <c r="BJ4" s="350"/>
      <c r="BK4" s="355"/>
      <c r="BL4" s="345"/>
      <c r="BM4" s="346"/>
      <c r="BN4" s="339"/>
      <c r="BO4" s="350"/>
      <c r="BP4" s="353"/>
      <c r="BQ4" s="345"/>
      <c r="BR4" s="346"/>
      <c r="BS4" s="339"/>
    </row>
    <row r="5" spans="2:72" x14ac:dyDescent="0.25">
      <c r="B5" s="46" t="str">
        <f>CONCATENATE(Sestava1!G63,"_",Sestava1!G65,"_",Sestava1!G67,"_",Sestava1!P65)</f>
        <v>___</v>
      </c>
      <c r="C5" s="330" t="s">
        <v>5824</v>
      </c>
      <c r="D5" s="330"/>
      <c r="E5" s="76" t="s">
        <v>5796</v>
      </c>
      <c r="F5" s="136" t="s">
        <v>5797</v>
      </c>
      <c r="G5" s="138" t="s">
        <v>6803</v>
      </c>
      <c r="H5" s="135" t="s">
        <v>6804</v>
      </c>
      <c r="I5" s="331" t="str">
        <f>Překlady!C88</f>
        <v>vlastní vypínač na zdi</v>
      </c>
      <c r="J5" s="331"/>
      <c r="K5" s="331"/>
      <c r="L5" s="332"/>
      <c r="M5" s="75" t="str">
        <f>Překlady!C85</f>
        <v>v profilu</v>
      </c>
      <c r="N5" s="333" t="s">
        <v>5831</v>
      </c>
      <c r="O5" s="332"/>
      <c r="P5" s="72" t="str">
        <f>Překlady!C85</f>
        <v>v profilu</v>
      </c>
      <c r="Q5" s="134" t="s">
        <v>5832</v>
      </c>
      <c r="R5" s="134"/>
      <c r="S5" s="72" t="str">
        <f>Překlady!C86</f>
        <v>mimo profil</v>
      </c>
      <c r="T5" s="323" t="s">
        <v>5831</v>
      </c>
      <c r="U5" s="323"/>
      <c r="V5" s="324"/>
      <c r="W5" s="72" t="str">
        <f>Překlady!C86</f>
        <v>mimo profil</v>
      </c>
      <c r="X5" s="326"/>
      <c r="Y5" s="329"/>
      <c r="Z5" s="342"/>
      <c r="AA5" s="329"/>
      <c r="AB5" s="337"/>
      <c r="AC5" s="339"/>
      <c r="AD5" s="329"/>
      <c r="AE5" s="337"/>
      <c r="AF5" s="339"/>
      <c r="AG5" s="329"/>
      <c r="AH5" s="337"/>
      <c r="AI5" s="339"/>
      <c r="AJ5" s="329"/>
      <c r="AK5" s="337"/>
      <c r="AL5" s="339"/>
      <c r="AM5" s="329"/>
      <c r="AN5" s="337"/>
      <c r="AO5" s="339"/>
      <c r="AP5" s="329"/>
      <c r="AQ5" s="337"/>
      <c r="AR5" s="339"/>
      <c r="AS5" s="329"/>
      <c r="AT5" s="337"/>
      <c r="AU5" s="339"/>
      <c r="AV5" s="329"/>
      <c r="AW5" s="337"/>
      <c r="AX5" s="339"/>
      <c r="AY5" s="329"/>
      <c r="AZ5" s="337"/>
      <c r="BA5" s="353"/>
      <c r="BB5" s="345"/>
      <c r="BC5" s="346"/>
      <c r="BD5" s="348"/>
      <c r="BE5" s="339"/>
      <c r="BF5" s="345"/>
      <c r="BG5" s="346"/>
      <c r="BH5" s="348"/>
      <c r="BI5" s="339"/>
      <c r="BJ5" s="351"/>
      <c r="BK5" s="356"/>
      <c r="BL5" s="345"/>
      <c r="BM5" s="346"/>
      <c r="BN5" s="339"/>
      <c r="BO5" s="351"/>
      <c r="BP5" s="353"/>
      <c r="BQ5" s="345"/>
      <c r="BR5" s="346"/>
      <c r="BS5" s="339"/>
    </row>
    <row r="6" spans="2:72" ht="15.75" customHeight="1" thickBot="1" x14ac:dyDescent="0.3">
      <c r="B6" s="46" t="s">
        <v>5795</v>
      </c>
      <c r="C6" s="27" t="s">
        <v>5825</v>
      </c>
      <c r="D6" s="27" t="s">
        <v>5826</v>
      </c>
      <c r="E6" s="80" t="s">
        <v>5846</v>
      </c>
      <c r="F6" s="137" t="s">
        <v>5842</v>
      </c>
      <c r="G6" s="320" t="s">
        <v>5842</v>
      </c>
      <c r="H6" s="321"/>
      <c r="I6" s="81" t="s">
        <v>5321</v>
      </c>
      <c r="J6" s="82" t="s">
        <v>5329</v>
      </c>
      <c r="K6" s="82" t="s">
        <v>5193</v>
      </c>
      <c r="L6" s="83" t="s">
        <v>5341</v>
      </c>
      <c r="M6" s="81" t="s">
        <v>5321</v>
      </c>
      <c r="N6" s="82" t="s">
        <v>5329</v>
      </c>
      <c r="O6" s="82" t="s">
        <v>5193</v>
      </c>
      <c r="P6" s="84" t="s">
        <v>5329</v>
      </c>
      <c r="Q6" s="85" t="s">
        <v>5341</v>
      </c>
      <c r="R6" s="82" t="s">
        <v>5193</v>
      </c>
      <c r="S6" s="84" t="s">
        <v>5321</v>
      </c>
      <c r="T6" s="82" t="s">
        <v>5329</v>
      </c>
      <c r="U6" s="82" t="s">
        <v>5340</v>
      </c>
      <c r="V6" s="82" t="s">
        <v>5193</v>
      </c>
      <c r="W6" s="84" t="s">
        <v>5341</v>
      </c>
      <c r="X6" s="86" t="s">
        <v>5329</v>
      </c>
      <c r="Y6" s="84" t="s">
        <v>5329</v>
      </c>
      <c r="Z6" s="86" t="s">
        <v>5193</v>
      </c>
      <c r="AA6" s="83" t="s">
        <v>5459</v>
      </c>
      <c r="AB6" s="84" t="s">
        <v>5329</v>
      </c>
      <c r="AC6" s="83" t="s">
        <v>5193</v>
      </c>
      <c r="AD6" s="83" t="s">
        <v>5333</v>
      </c>
      <c r="AE6" s="84" t="s">
        <v>4890</v>
      </c>
      <c r="AF6" s="83" t="s">
        <v>5193</v>
      </c>
      <c r="AG6" s="84" t="s">
        <v>4890</v>
      </c>
      <c r="AH6" s="84" t="s">
        <v>5134</v>
      </c>
      <c r="AI6" s="83" t="s">
        <v>5193</v>
      </c>
      <c r="AJ6" s="84" t="s">
        <v>5333</v>
      </c>
      <c r="AK6" s="84" t="s">
        <v>4890</v>
      </c>
      <c r="AL6" s="83" t="s">
        <v>5193</v>
      </c>
      <c r="AM6" s="84" t="s">
        <v>4890</v>
      </c>
      <c r="AN6" s="84" t="s">
        <v>5134</v>
      </c>
      <c r="AO6" s="83" t="s">
        <v>5193</v>
      </c>
      <c r="AP6" s="84" t="s">
        <v>5333</v>
      </c>
      <c r="AQ6" s="84" t="s">
        <v>4890</v>
      </c>
      <c r="AR6" s="83" t="s">
        <v>5193</v>
      </c>
      <c r="AS6" s="84" t="s">
        <v>4890</v>
      </c>
      <c r="AT6" s="84" t="s">
        <v>5134</v>
      </c>
      <c r="AU6" s="83" t="s">
        <v>5193</v>
      </c>
      <c r="AV6" s="84" t="s">
        <v>5333</v>
      </c>
      <c r="AW6" s="84" t="s">
        <v>4890</v>
      </c>
      <c r="AX6" s="83" t="s">
        <v>5193</v>
      </c>
      <c r="AY6" s="84" t="s">
        <v>4890</v>
      </c>
      <c r="AZ6" s="84" t="s">
        <v>5134</v>
      </c>
      <c r="BA6" s="86" t="s">
        <v>5193</v>
      </c>
      <c r="BB6" s="84" t="s">
        <v>5321</v>
      </c>
      <c r="BC6" s="82" t="s">
        <v>5329</v>
      </c>
      <c r="BD6" s="82" t="s">
        <v>5193</v>
      </c>
      <c r="BE6" s="83" t="s">
        <v>5341</v>
      </c>
      <c r="BF6" s="84" t="s">
        <v>5321</v>
      </c>
      <c r="BG6" s="82" t="s">
        <v>5329</v>
      </c>
      <c r="BH6" s="82" t="s">
        <v>5193</v>
      </c>
      <c r="BI6" s="83" t="s">
        <v>5459</v>
      </c>
      <c r="BJ6" s="84" t="s">
        <v>4890</v>
      </c>
      <c r="BK6" s="86" t="s">
        <v>5193</v>
      </c>
      <c r="BL6" s="84" t="s">
        <v>4890</v>
      </c>
      <c r="BM6" s="82" t="s">
        <v>5459</v>
      </c>
      <c r="BN6" s="83" t="s">
        <v>5193</v>
      </c>
      <c r="BO6" s="84" t="s">
        <v>5329</v>
      </c>
      <c r="BP6" s="86" t="s">
        <v>5193</v>
      </c>
      <c r="BQ6" s="84" t="s">
        <v>5459</v>
      </c>
      <c r="BR6" s="82" t="s">
        <v>5329</v>
      </c>
      <c r="BS6" s="83" t="s">
        <v>5193</v>
      </c>
    </row>
    <row r="7" spans="2:72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22">
        <f>IF(AND(Sestava1!$G$110=G4,Sestava1!$W$112=1),1,0)</f>
        <v>0</v>
      </c>
      <c r="H7" s="322">
        <f>IF(AND(Sestava1!$G$110=G4,Sestava1!$W$112=2),2,0)</f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1</v>
      </c>
      <c r="AK7">
        <v>2</v>
      </c>
      <c r="AL7">
        <v>0</v>
      </c>
      <c r="AM7">
        <v>0</v>
      </c>
      <c r="AN7">
        <v>0</v>
      </c>
      <c r="AO7">
        <v>0</v>
      </c>
      <c r="AP7">
        <v>1</v>
      </c>
      <c r="AQ7">
        <v>2</v>
      </c>
      <c r="AR7">
        <v>0</v>
      </c>
      <c r="AS7">
        <v>0</v>
      </c>
      <c r="AT7">
        <v>0</v>
      </c>
      <c r="AU7">
        <v>0</v>
      </c>
      <c r="AV7">
        <v>1</v>
      </c>
      <c r="AW7">
        <v>2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 s="46">
        <v>1</v>
      </c>
    </row>
    <row r="8" spans="2:72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209"/>
      <c r="H8" s="209"/>
      <c r="I8">
        <v>1</v>
      </c>
      <c r="J8">
        <v>1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>
        <v>0</v>
      </c>
      <c r="AG8">
        <v>0</v>
      </c>
      <c r="AH8">
        <v>0</v>
      </c>
      <c r="AI8">
        <v>0</v>
      </c>
      <c r="AJ8">
        <v>1</v>
      </c>
      <c r="AK8">
        <v>2</v>
      </c>
      <c r="AL8">
        <v>0</v>
      </c>
      <c r="AM8">
        <v>0</v>
      </c>
      <c r="AN8">
        <v>0</v>
      </c>
      <c r="AO8">
        <v>0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1</v>
      </c>
      <c r="AW8">
        <v>2</v>
      </c>
      <c r="AX8">
        <v>0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2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 s="46">
        <v>2</v>
      </c>
    </row>
    <row r="9" spans="2:72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209"/>
      <c r="H9" s="209"/>
      <c r="I9">
        <v>0</v>
      </c>
      <c r="J9">
        <v>2</v>
      </c>
      <c r="K9">
        <v>0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0</v>
      </c>
      <c r="S9">
        <v>1</v>
      </c>
      <c r="T9">
        <v>2</v>
      </c>
      <c r="U9">
        <v>1</v>
      </c>
      <c r="V9">
        <v>0</v>
      </c>
      <c r="W9">
        <v>1</v>
      </c>
      <c r="X9">
        <v>2</v>
      </c>
      <c r="Y9">
        <v>2</v>
      </c>
      <c r="Z9">
        <v>0</v>
      </c>
      <c r="AA9">
        <v>1</v>
      </c>
      <c r="AB9">
        <v>2</v>
      </c>
      <c r="AC9">
        <v>0</v>
      </c>
      <c r="AD9">
        <v>1</v>
      </c>
      <c r="AE9">
        <v>4</v>
      </c>
      <c r="AF9">
        <v>0</v>
      </c>
      <c r="AG9">
        <v>4</v>
      </c>
      <c r="AH9">
        <v>1</v>
      </c>
      <c r="AI9">
        <v>0</v>
      </c>
      <c r="AJ9">
        <v>1</v>
      </c>
      <c r="AK9">
        <v>4</v>
      </c>
      <c r="AL9">
        <v>0</v>
      </c>
      <c r="AM9">
        <v>4</v>
      </c>
      <c r="AN9">
        <v>1</v>
      </c>
      <c r="AO9">
        <v>0</v>
      </c>
      <c r="AP9">
        <v>1</v>
      </c>
      <c r="AQ9">
        <v>4</v>
      </c>
      <c r="AR9">
        <v>0</v>
      </c>
      <c r="AS9">
        <v>4</v>
      </c>
      <c r="AT9">
        <v>1</v>
      </c>
      <c r="AU9">
        <v>0</v>
      </c>
      <c r="AV9">
        <v>1</v>
      </c>
      <c r="AW9">
        <v>4</v>
      </c>
      <c r="AX9">
        <v>0</v>
      </c>
      <c r="AY9">
        <v>4</v>
      </c>
      <c r="AZ9">
        <v>1</v>
      </c>
      <c r="BA9">
        <v>0</v>
      </c>
      <c r="BB9">
        <v>0</v>
      </c>
      <c r="BC9">
        <v>2</v>
      </c>
      <c r="BD9">
        <v>0</v>
      </c>
      <c r="BE9">
        <v>1</v>
      </c>
      <c r="BF9">
        <v>1</v>
      </c>
      <c r="BG9">
        <v>2</v>
      </c>
      <c r="BH9">
        <v>0</v>
      </c>
      <c r="BI9">
        <v>1</v>
      </c>
      <c r="BJ9">
        <v>4</v>
      </c>
      <c r="BK9">
        <v>0</v>
      </c>
      <c r="BL9">
        <v>4</v>
      </c>
      <c r="BM9">
        <v>1</v>
      </c>
      <c r="BN9">
        <v>0</v>
      </c>
      <c r="BO9">
        <v>2</v>
      </c>
      <c r="BP9">
        <v>0</v>
      </c>
      <c r="BQ9">
        <v>1</v>
      </c>
      <c r="BR9">
        <v>2</v>
      </c>
      <c r="BS9">
        <v>0</v>
      </c>
      <c r="BT9" s="46">
        <v>3</v>
      </c>
    </row>
    <row r="10" spans="2:72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209"/>
      <c r="H10" s="209"/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1</v>
      </c>
      <c r="AE10">
        <v>2</v>
      </c>
      <c r="AF10">
        <v>1</v>
      </c>
      <c r="AG10">
        <v>0</v>
      </c>
      <c r="AH10">
        <v>0</v>
      </c>
      <c r="AI10">
        <v>0</v>
      </c>
      <c r="AJ10">
        <v>1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1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2</v>
      </c>
      <c r="AX10">
        <v>1</v>
      </c>
      <c r="AY10">
        <v>0</v>
      </c>
      <c r="AZ10">
        <v>0</v>
      </c>
      <c r="BA10">
        <v>0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1</v>
      </c>
      <c r="BQ10">
        <v>0</v>
      </c>
      <c r="BR10">
        <v>0</v>
      </c>
      <c r="BS10">
        <v>0</v>
      </c>
      <c r="BT10" s="46">
        <v>4</v>
      </c>
    </row>
    <row r="11" spans="2:72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209"/>
      <c r="H11" s="209"/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2</v>
      </c>
      <c r="AF11">
        <v>1</v>
      </c>
      <c r="AG11">
        <v>0</v>
      </c>
      <c r="AH11">
        <v>0</v>
      </c>
      <c r="AI11">
        <v>0</v>
      </c>
      <c r="AJ11">
        <v>1</v>
      </c>
      <c r="AK11">
        <v>2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1</v>
      </c>
      <c r="AS11">
        <v>0</v>
      </c>
      <c r="AT11">
        <v>0</v>
      </c>
      <c r="AU11">
        <v>0</v>
      </c>
      <c r="AV11">
        <v>1</v>
      </c>
      <c r="AW11">
        <v>2</v>
      </c>
      <c r="AX11">
        <v>1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1</v>
      </c>
      <c r="BL11">
        <v>0</v>
      </c>
      <c r="BM11">
        <v>0</v>
      </c>
      <c r="BN11">
        <v>0</v>
      </c>
      <c r="BO11">
        <v>1</v>
      </c>
      <c r="BP11">
        <v>1</v>
      </c>
      <c r="BQ11">
        <v>0</v>
      </c>
      <c r="BR11">
        <v>0</v>
      </c>
      <c r="BS11">
        <v>0</v>
      </c>
      <c r="BT11" s="46">
        <v>5</v>
      </c>
    </row>
    <row r="12" spans="2:72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209"/>
      <c r="H12" s="209"/>
      <c r="I12">
        <v>1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2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 s="46">
        <v>6</v>
      </c>
    </row>
    <row r="13" spans="2:72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209"/>
      <c r="H13" s="209"/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 s="46">
        <v>7</v>
      </c>
    </row>
    <row r="14" spans="2:72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209"/>
      <c r="H14" s="209"/>
      <c r="I14">
        <v>0</v>
      </c>
      <c r="J14">
        <v>2</v>
      </c>
      <c r="K14">
        <v>0</v>
      </c>
      <c r="L14">
        <v>1</v>
      </c>
      <c r="M14">
        <v>1</v>
      </c>
      <c r="N14">
        <v>1</v>
      </c>
      <c r="O14">
        <v>1</v>
      </c>
      <c r="P14">
        <v>2</v>
      </c>
      <c r="Q14">
        <v>1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1</v>
      </c>
      <c r="AB14">
        <v>2</v>
      </c>
      <c r="AC14">
        <v>0</v>
      </c>
      <c r="AD14">
        <v>1</v>
      </c>
      <c r="AE14">
        <v>4</v>
      </c>
      <c r="AF14">
        <v>0</v>
      </c>
      <c r="AG14">
        <v>4</v>
      </c>
      <c r="AH14">
        <v>1</v>
      </c>
      <c r="AI14">
        <v>0</v>
      </c>
      <c r="AJ14">
        <v>1</v>
      </c>
      <c r="AK14">
        <v>4</v>
      </c>
      <c r="AL14">
        <v>0</v>
      </c>
      <c r="AM14">
        <v>4</v>
      </c>
      <c r="AN14">
        <v>1</v>
      </c>
      <c r="AO14">
        <v>0</v>
      </c>
      <c r="AP14">
        <v>1</v>
      </c>
      <c r="AQ14">
        <v>4</v>
      </c>
      <c r="AR14">
        <v>0</v>
      </c>
      <c r="AS14">
        <v>4</v>
      </c>
      <c r="AT14">
        <v>1</v>
      </c>
      <c r="AU14">
        <v>0</v>
      </c>
      <c r="AV14">
        <v>1</v>
      </c>
      <c r="AW14">
        <v>4</v>
      </c>
      <c r="AX14">
        <v>0</v>
      </c>
      <c r="AY14">
        <v>4</v>
      </c>
      <c r="AZ14">
        <v>1</v>
      </c>
      <c r="BA14">
        <v>0</v>
      </c>
      <c r="BB14">
        <v>0</v>
      </c>
      <c r="BC14">
        <v>2</v>
      </c>
      <c r="BD14">
        <v>0</v>
      </c>
      <c r="BE14">
        <v>1</v>
      </c>
      <c r="BF14">
        <v>2</v>
      </c>
      <c r="BG14">
        <v>2</v>
      </c>
      <c r="BH14">
        <v>0</v>
      </c>
      <c r="BI14">
        <v>1</v>
      </c>
      <c r="BJ14">
        <v>2</v>
      </c>
      <c r="BK14">
        <v>0</v>
      </c>
      <c r="BL14">
        <v>4</v>
      </c>
      <c r="BM14">
        <v>1</v>
      </c>
      <c r="BN14">
        <v>0</v>
      </c>
      <c r="BO14">
        <v>2</v>
      </c>
      <c r="BP14">
        <v>0</v>
      </c>
      <c r="BQ14">
        <v>1</v>
      </c>
      <c r="BR14">
        <v>2</v>
      </c>
      <c r="BS14">
        <v>0</v>
      </c>
      <c r="BT14" s="46">
        <v>8</v>
      </c>
    </row>
    <row r="15" spans="2:72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209"/>
      <c r="H15" s="209"/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2</v>
      </c>
      <c r="AF15">
        <v>1</v>
      </c>
      <c r="AG15">
        <v>0</v>
      </c>
      <c r="AH15">
        <v>0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2</v>
      </c>
      <c r="AR15">
        <v>1</v>
      </c>
      <c r="AS15">
        <v>0</v>
      </c>
      <c r="AT15">
        <v>0</v>
      </c>
      <c r="AU15">
        <v>0</v>
      </c>
      <c r="AV15">
        <v>1</v>
      </c>
      <c r="AW15">
        <v>2</v>
      </c>
      <c r="AX15">
        <v>1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</v>
      </c>
      <c r="BK15">
        <v>1</v>
      </c>
      <c r="BL15">
        <v>0</v>
      </c>
      <c r="BM15">
        <v>0</v>
      </c>
      <c r="BN15">
        <v>0</v>
      </c>
      <c r="BO15">
        <v>1</v>
      </c>
      <c r="BP15">
        <v>1</v>
      </c>
      <c r="BQ15">
        <v>0</v>
      </c>
      <c r="BR15">
        <v>0</v>
      </c>
      <c r="BS15">
        <v>0</v>
      </c>
      <c r="BT15" s="46">
        <v>9</v>
      </c>
    </row>
    <row r="16" spans="2:72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209"/>
      <c r="H16" s="209"/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2</v>
      </c>
      <c r="AF16">
        <v>1</v>
      </c>
      <c r="AG16">
        <v>0</v>
      </c>
      <c r="AH16">
        <v>0</v>
      </c>
      <c r="AI16">
        <v>0</v>
      </c>
      <c r="AJ16">
        <v>1</v>
      </c>
      <c r="AK16">
        <v>2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2</v>
      </c>
      <c r="AX16">
        <v>1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1</v>
      </c>
      <c r="BL16">
        <v>0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 s="46">
        <v>10</v>
      </c>
    </row>
    <row r="17" spans="2:72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209"/>
      <c r="H17" s="209"/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2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2</v>
      </c>
      <c r="AL17">
        <v>1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2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1</v>
      </c>
      <c r="BL17">
        <v>0</v>
      </c>
      <c r="BM17">
        <v>0</v>
      </c>
      <c r="BN17">
        <v>0</v>
      </c>
      <c r="BO17">
        <v>1</v>
      </c>
      <c r="BP17">
        <v>1</v>
      </c>
      <c r="BQ17">
        <v>0</v>
      </c>
      <c r="BR17">
        <v>0</v>
      </c>
      <c r="BS17">
        <v>0</v>
      </c>
      <c r="BT17" s="46">
        <v>11</v>
      </c>
    </row>
    <row r="18" spans="2:72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209"/>
      <c r="H18" s="209"/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1</v>
      </c>
      <c r="AE18">
        <v>2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2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1</v>
      </c>
      <c r="BC18">
        <v>1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</v>
      </c>
      <c r="BK18">
        <v>1</v>
      </c>
      <c r="BL18">
        <v>0</v>
      </c>
      <c r="BM18">
        <v>0</v>
      </c>
      <c r="BN18">
        <v>0</v>
      </c>
      <c r="BO18">
        <v>1</v>
      </c>
      <c r="BP18">
        <v>1</v>
      </c>
      <c r="BQ18">
        <v>0</v>
      </c>
      <c r="BR18">
        <v>0</v>
      </c>
      <c r="BS18">
        <v>0</v>
      </c>
      <c r="BT18" s="46">
        <v>12</v>
      </c>
    </row>
    <row r="19" spans="2:72" x14ac:dyDescent="0.25">
      <c r="B19" t="str">
        <f>CONCATENATE(Překlady!$C$14,"_",Překlady!$C$15,"_",Překlady!$C$36,"_",Překlady!$C$35)</f>
        <v>rohový_ano_v přerušení_vpravo</v>
      </c>
      <c r="C19" s="27">
        <v>3</v>
      </c>
      <c r="D19" s="27">
        <v>2</v>
      </c>
      <c r="E19" s="27">
        <v>3</v>
      </c>
      <c r="F19" s="27">
        <f>4+G7+H7</f>
        <v>4</v>
      </c>
      <c r="G19" s="209"/>
      <c r="H19" s="209"/>
      <c r="I19">
        <v>0</v>
      </c>
      <c r="J19">
        <v>2</v>
      </c>
      <c r="K19">
        <v>0</v>
      </c>
      <c r="L19">
        <v>1</v>
      </c>
      <c r="M19">
        <v>1</v>
      </c>
      <c r="N19">
        <v>1</v>
      </c>
      <c r="O19">
        <v>1</v>
      </c>
      <c r="P19">
        <v>2</v>
      </c>
      <c r="Q19">
        <v>1</v>
      </c>
      <c r="R19">
        <v>0</v>
      </c>
      <c r="S19">
        <v>1</v>
      </c>
      <c r="T19">
        <v>2</v>
      </c>
      <c r="U19">
        <v>1</v>
      </c>
      <c r="V19">
        <v>0</v>
      </c>
      <c r="W19">
        <v>1</v>
      </c>
      <c r="X19">
        <v>2</v>
      </c>
      <c r="Y19">
        <v>2</v>
      </c>
      <c r="Z19">
        <v>0</v>
      </c>
      <c r="AA19">
        <v>1</v>
      </c>
      <c r="AB19">
        <v>2</v>
      </c>
      <c r="AC19">
        <v>0</v>
      </c>
      <c r="AD19">
        <v>1</v>
      </c>
      <c r="AE19">
        <v>4</v>
      </c>
      <c r="AF19">
        <v>0</v>
      </c>
      <c r="AG19">
        <v>4</v>
      </c>
      <c r="AH19">
        <v>1</v>
      </c>
      <c r="AI19">
        <v>0</v>
      </c>
      <c r="AJ19">
        <v>1</v>
      </c>
      <c r="AK19">
        <v>4</v>
      </c>
      <c r="AL19">
        <v>0</v>
      </c>
      <c r="AM19">
        <v>4</v>
      </c>
      <c r="AN19">
        <v>1</v>
      </c>
      <c r="AO19">
        <v>0</v>
      </c>
      <c r="AP19">
        <v>1</v>
      </c>
      <c r="AQ19">
        <v>4</v>
      </c>
      <c r="AR19">
        <v>0</v>
      </c>
      <c r="AS19">
        <v>4</v>
      </c>
      <c r="AT19">
        <v>1</v>
      </c>
      <c r="AU19">
        <v>0</v>
      </c>
      <c r="AV19">
        <v>1</v>
      </c>
      <c r="AW19">
        <v>4</v>
      </c>
      <c r="AX19">
        <v>0</v>
      </c>
      <c r="AY19">
        <v>4</v>
      </c>
      <c r="AZ19">
        <v>1</v>
      </c>
      <c r="BA19">
        <v>0</v>
      </c>
      <c r="BB19">
        <v>0</v>
      </c>
      <c r="BC19">
        <v>2</v>
      </c>
      <c r="BD19">
        <v>0</v>
      </c>
      <c r="BE19">
        <v>1</v>
      </c>
      <c r="BF19">
        <v>2</v>
      </c>
      <c r="BG19">
        <v>2</v>
      </c>
      <c r="BH19">
        <v>0</v>
      </c>
      <c r="BI19">
        <v>1</v>
      </c>
      <c r="BJ19">
        <v>4</v>
      </c>
      <c r="BK19">
        <v>0</v>
      </c>
      <c r="BL19">
        <v>4</v>
      </c>
      <c r="BM19">
        <v>1</v>
      </c>
      <c r="BN19">
        <v>0</v>
      </c>
      <c r="BO19">
        <v>2</v>
      </c>
      <c r="BP19">
        <v>0</v>
      </c>
      <c r="BQ19">
        <v>1</v>
      </c>
      <c r="BR19">
        <v>2</v>
      </c>
      <c r="BS19">
        <v>0</v>
      </c>
      <c r="BT19" s="46">
        <v>13</v>
      </c>
    </row>
    <row r="20" spans="2:72" x14ac:dyDescent="0.25">
      <c r="B20" t="str">
        <f>CONCATENATE(Překlady!$C$14,"_",Překlady!$C$15,"_",Překlady!$C$36,"_",Překlady!$C$34)</f>
        <v>rohový_ano_v přerušení_vlevo</v>
      </c>
      <c r="C20" s="27">
        <v>3</v>
      </c>
      <c r="D20" s="27">
        <v>2</v>
      </c>
      <c r="E20" s="27">
        <v>3</v>
      </c>
      <c r="F20" s="27">
        <f>4+G7+H7</f>
        <v>4</v>
      </c>
      <c r="G20" s="209"/>
      <c r="H20" s="209"/>
      <c r="I20">
        <v>0</v>
      </c>
      <c r="J20">
        <v>2</v>
      </c>
      <c r="K20">
        <v>0</v>
      </c>
      <c r="L20">
        <v>1</v>
      </c>
      <c r="M20">
        <v>1</v>
      </c>
      <c r="N20">
        <v>1</v>
      </c>
      <c r="O20">
        <v>1</v>
      </c>
      <c r="P20">
        <v>2</v>
      </c>
      <c r="Q20">
        <v>1</v>
      </c>
      <c r="R20">
        <v>0</v>
      </c>
      <c r="S20">
        <v>1</v>
      </c>
      <c r="T20">
        <v>2</v>
      </c>
      <c r="U20">
        <v>1</v>
      </c>
      <c r="V20">
        <v>0</v>
      </c>
      <c r="W20">
        <v>1</v>
      </c>
      <c r="X20">
        <v>2</v>
      </c>
      <c r="Y20">
        <v>2</v>
      </c>
      <c r="Z20">
        <v>0</v>
      </c>
      <c r="AA20">
        <v>1</v>
      </c>
      <c r="AB20">
        <v>2</v>
      </c>
      <c r="AC20">
        <v>0</v>
      </c>
      <c r="AD20">
        <v>1</v>
      </c>
      <c r="AE20">
        <v>4</v>
      </c>
      <c r="AF20">
        <v>0</v>
      </c>
      <c r="AG20">
        <v>4</v>
      </c>
      <c r="AH20">
        <v>1</v>
      </c>
      <c r="AI20">
        <v>0</v>
      </c>
      <c r="AJ20">
        <v>1</v>
      </c>
      <c r="AK20">
        <v>4</v>
      </c>
      <c r="AL20">
        <v>0</v>
      </c>
      <c r="AM20">
        <v>4</v>
      </c>
      <c r="AN20">
        <v>1</v>
      </c>
      <c r="AO20">
        <v>0</v>
      </c>
      <c r="AP20">
        <v>1</v>
      </c>
      <c r="AQ20">
        <v>4</v>
      </c>
      <c r="AR20">
        <v>0</v>
      </c>
      <c r="AS20">
        <v>4</v>
      </c>
      <c r="AT20">
        <v>1</v>
      </c>
      <c r="AU20">
        <v>0</v>
      </c>
      <c r="AV20">
        <v>1</v>
      </c>
      <c r="AW20">
        <v>4</v>
      </c>
      <c r="AX20">
        <v>0</v>
      </c>
      <c r="AY20">
        <v>4</v>
      </c>
      <c r="AZ20">
        <v>1</v>
      </c>
      <c r="BA20">
        <v>0</v>
      </c>
      <c r="BB20">
        <v>0</v>
      </c>
      <c r="BC20">
        <v>2</v>
      </c>
      <c r="BD20">
        <v>0</v>
      </c>
      <c r="BE20">
        <v>1</v>
      </c>
      <c r="BF20">
        <v>2</v>
      </c>
      <c r="BG20">
        <v>2</v>
      </c>
      <c r="BH20">
        <v>0</v>
      </c>
      <c r="BI20">
        <v>1</v>
      </c>
      <c r="BJ20">
        <v>4</v>
      </c>
      <c r="BK20">
        <v>0</v>
      </c>
      <c r="BL20">
        <v>4</v>
      </c>
      <c r="BM20">
        <v>1</v>
      </c>
      <c r="BN20">
        <v>0</v>
      </c>
      <c r="BO20">
        <v>2</v>
      </c>
      <c r="BP20">
        <v>0</v>
      </c>
      <c r="BQ20">
        <v>1</v>
      </c>
      <c r="BR20">
        <v>2</v>
      </c>
      <c r="BS20">
        <v>0</v>
      </c>
      <c r="BT20" s="46">
        <v>14</v>
      </c>
    </row>
    <row r="21" spans="2:72" x14ac:dyDescent="0.25">
      <c r="B21" t="str">
        <f>CONCATENATE(Překlady!$C$14,"_",Překlady!$C$15,"_",Překlady!$C$38,"_",Překlady!$C$35)</f>
        <v>rohový_ano_v rohu_vpravo</v>
      </c>
      <c r="C21" s="27">
        <v>3</v>
      </c>
      <c r="D21" s="27">
        <v>2</v>
      </c>
      <c r="E21" s="27">
        <v>3</v>
      </c>
      <c r="F21" s="27">
        <f>4+G7+H7</f>
        <v>4</v>
      </c>
      <c r="G21" s="209"/>
      <c r="H21" s="209"/>
      <c r="I21">
        <v>0</v>
      </c>
      <c r="J21">
        <v>2</v>
      </c>
      <c r="K21">
        <v>1</v>
      </c>
      <c r="L21">
        <v>1</v>
      </c>
      <c r="M21">
        <v>1</v>
      </c>
      <c r="N21">
        <v>1</v>
      </c>
      <c r="O21">
        <v>2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0</v>
      </c>
      <c r="W21">
        <v>1</v>
      </c>
      <c r="X21">
        <v>2</v>
      </c>
      <c r="Y21">
        <v>2</v>
      </c>
      <c r="Z21">
        <v>1</v>
      </c>
      <c r="AA21">
        <v>1</v>
      </c>
      <c r="AB21">
        <v>2</v>
      </c>
      <c r="AC21">
        <v>1</v>
      </c>
      <c r="AD21">
        <v>1</v>
      </c>
      <c r="AE21">
        <v>4</v>
      </c>
      <c r="AF21">
        <v>1</v>
      </c>
      <c r="AG21">
        <v>4</v>
      </c>
      <c r="AH21">
        <v>1</v>
      </c>
      <c r="AI21">
        <v>1</v>
      </c>
      <c r="AJ21">
        <v>1</v>
      </c>
      <c r="AK21">
        <v>4</v>
      </c>
      <c r="AL21">
        <v>1</v>
      </c>
      <c r="AM21">
        <v>4</v>
      </c>
      <c r="AN21">
        <v>1</v>
      </c>
      <c r="AO21">
        <v>1</v>
      </c>
      <c r="AP21">
        <v>1</v>
      </c>
      <c r="AQ21">
        <v>4</v>
      </c>
      <c r="AR21">
        <v>1</v>
      </c>
      <c r="AS21">
        <v>4</v>
      </c>
      <c r="AT21">
        <v>1</v>
      </c>
      <c r="AU21">
        <v>1</v>
      </c>
      <c r="AV21">
        <v>1</v>
      </c>
      <c r="AW21">
        <v>4</v>
      </c>
      <c r="AX21">
        <v>1</v>
      </c>
      <c r="AY21">
        <v>4</v>
      </c>
      <c r="AZ21">
        <v>1</v>
      </c>
      <c r="BA21">
        <v>1</v>
      </c>
      <c r="BB21">
        <v>0</v>
      </c>
      <c r="BC21">
        <v>2</v>
      </c>
      <c r="BD21">
        <v>1</v>
      </c>
      <c r="BE21">
        <v>1</v>
      </c>
      <c r="BF21">
        <v>2</v>
      </c>
      <c r="BG21">
        <v>2</v>
      </c>
      <c r="BH21">
        <v>1</v>
      </c>
      <c r="BI21">
        <v>1</v>
      </c>
      <c r="BJ21">
        <v>4</v>
      </c>
      <c r="BK21">
        <v>1</v>
      </c>
      <c r="BL21">
        <v>4</v>
      </c>
      <c r="BM21">
        <v>1</v>
      </c>
      <c r="BN21">
        <v>1</v>
      </c>
      <c r="BO21">
        <v>2</v>
      </c>
      <c r="BP21">
        <v>1</v>
      </c>
      <c r="BQ21">
        <v>1</v>
      </c>
      <c r="BR21">
        <v>2</v>
      </c>
      <c r="BS21">
        <v>1</v>
      </c>
      <c r="BT21" s="46">
        <v>15</v>
      </c>
    </row>
    <row r="22" spans="2:72" x14ac:dyDescent="0.25">
      <c r="B22" t="str">
        <f>CONCATENATE(Překlady!$C$14,"_",Překlady!$C$15,"_",Překlady!$C$38,"_",Překlady!$C$34)</f>
        <v>rohový_ano_v rohu_vlevo</v>
      </c>
      <c r="C22" s="27">
        <v>3</v>
      </c>
      <c r="D22" s="27">
        <v>2</v>
      </c>
      <c r="E22" s="27">
        <v>3</v>
      </c>
      <c r="F22" s="27">
        <f>4+G7+H7</f>
        <v>4</v>
      </c>
      <c r="G22" s="209"/>
      <c r="H22" s="209"/>
      <c r="I22">
        <v>0</v>
      </c>
      <c r="J22">
        <v>2</v>
      </c>
      <c r="K22">
        <v>1</v>
      </c>
      <c r="L22">
        <v>1</v>
      </c>
      <c r="M22">
        <v>1</v>
      </c>
      <c r="N22">
        <v>1</v>
      </c>
      <c r="O22">
        <v>2</v>
      </c>
      <c r="P22">
        <v>2</v>
      </c>
      <c r="Q22">
        <v>1</v>
      </c>
      <c r="R22">
        <v>1</v>
      </c>
      <c r="S22">
        <v>1</v>
      </c>
      <c r="T22">
        <v>2</v>
      </c>
      <c r="U22">
        <v>1</v>
      </c>
      <c r="V22">
        <v>0</v>
      </c>
      <c r="W22">
        <v>1</v>
      </c>
      <c r="X22">
        <v>2</v>
      </c>
      <c r="Y22">
        <v>2</v>
      </c>
      <c r="Z22">
        <v>1</v>
      </c>
      <c r="AA22">
        <v>1</v>
      </c>
      <c r="AB22">
        <v>2</v>
      </c>
      <c r="AC22">
        <v>1</v>
      </c>
      <c r="AD22">
        <v>1</v>
      </c>
      <c r="AE22">
        <v>4</v>
      </c>
      <c r="AF22">
        <v>1</v>
      </c>
      <c r="AG22">
        <v>4</v>
      </c>
      <c r="AH22">
        <v>1</v>
      </c>
      <c r="AI22">
        <v>1</v>
      </c>
      <c r="AJ22">
        <v>1</v>
      </c>
      <c r="AK22">
        <v>4</v>
      </c>
      <c r="AL22">
        <v>1</v>
      </c>
      <c r="AM22">
        <v>4</v>
      </c>
      <c r="AN22">
        <v>1</v>
      </c>
      <c r="AO22">
        <v>1</v>
      </c>
      <c r="AP22">
        <v>1</v>
      </c>
      <c r="AQ22">
        <v>4</v>
      </c>
      <c r="AR22">
        <v>1</v>
      </c>
      <c r="AS22">
        <v>4</v>
      </c>
      <c r="AT22">
        <v>1</v>
      </c>
      <c r="AU22">
        <v>1</v>
      </c>
      <c r="AV22">
        <v>1</v>
      </c>
      <c r="AW22">
        <v>4</v>
      </c>
      <c r="AX22">
        <v>1</v>
      </c>
      <c r="AY22">
        <v>4</v>
      </c>
      <c r="AZ22">
        <v>1</v>
      </c>
      <c r="BA22">
        <v>1</v>
      </c>
      <c r="BB22">
        <v>0</v>
      </c>
      <c r="BC22">
        <v>2</v>
      </c>
      <c r="BD22">
        <v>1</v>
      </c>
      <c r="BE22">
        <v>1</v>
      </c>
      <c r="BF22">
        <v>2</v>
      </c>
      <c r="BG22">
        <v>2</v>
      </c>
      <c r="BH22">
        <v>1</v>
      </c>
      <c r="BI22">
        <v>1</v>
      </c>
      <c r="BJ22">
        <v>4</v>
      </c>
      <c r="BK22">
        <v>1</v>
      </c>
      <c r="BL22">
        <v>4</v>
      </c>
      <c r="BM22">
        <v>1</v>
      </c>
      <c r="BN22">
        <v>1</v>
      </c>
      <c r="BO22">
        <v>2</v>
      </c>
      <c r="BP22">
        <v>1</v>
      </c>
      <c r="BQ22">
        <v>1</v>
      </c>
      <c r="BR22">
        <v>2</v>
      </c>
      <c r="BS22">
        <v>1</v>
      </c>
      <c r="BT22" s="46">
        <v>16</v>
      </c>
    </row>
    <row r="23" spans="2:72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IF(Sestava1!$G$110=I5,INDEX(I7:I22,$B$23),0)</f>
        <v>0</v>
      </c>
      <c r="J23" s="46" cm="1">
        <f t="array" ref="J23">IF(Sestava1!$G$110=I5,INDEX(J7:J22,$B$23),0)</f>
        <v>0</v>
      </c>
      <c r="K23" s="46" cm="1">
        <f t="array" ref="K23">IF(Sestava1!$G$110=I5,INDEX(K7:K22,$B$23),0)</f>
        <v>0</v>
      </c>
      <c r="L23" s="46" cm="1">
        <f t="array" ref="L23">IF(Sestava1!$G$110=I5,INDEX(L7:L22,$B$23),0)</f>
        <v>0</v>
      </c>
      <c r="M23" s="46" cm="1">
        <f t="array" ref="M23">IF(AND(Sestava1!$G$110=M5,Sestava1!$W$112=1),INDEX(M7:M22,$B$23),0)</f>
        <v>0</v>
      </c>
      <c r="N23" s="46" cm="1">
        <f t="array" ref="N23">IF(AND(Sestava1!$G$110=M5,Sestava1!$W$112=1),INDEX(N7:N22,$B$23),0)</f>
        <v>0</v>
      </c>
      <c r="O23" s="46" cm="1">
        <f t="array" ref="O23">IF(AND(Sestava1!$G$110=M5,Sestava1!$W$112=1),INDEX(O7:O22,$B$23),0)</f>
        <v>0</v>
      </c>
      <c r="P23" s="46" cm="1">
        <f t="array" ref="P23">IF(AND(Sestava1!$G$110=P5,Sestava1!$W$112=2),INDEX(P7:P22,$B$23),0)</f>
        <v>0</v>
      </c>
      <c r="Q23" s="46" cm="1">
        <f t="array" ref="Q23">IF(AND(Sestava1!$G$110=P5,Sestava1!$W$112=2),INDEX(Q7:Q22,$B$23),0)</f>
        <v>0</v>
      </c>
      <c r="R23" s="46" cm="1">
        <f t="array" ref="R23">IF(AND(Sestava1!$G$110=P5,Sestava1!$W$112=2),INDEX(R7:R22,$B$23),0)</f>
        <v>0</v>
      </c>
      <c r="S23" s="46" cm="1">
        <f t="array" ref="S23">IF(AND(Sestava1!$G$110=$S$5,Sestava1!$W$112=1),INDEX(S7:S22,$B$23),0)</f>
        <v>0</v>
      </c>
      <c r="T23" s="46" cm="1">
        <f t="array" ref="T23">IF(AND(Sestava1!$G$110=$S$5,Sestava1!$W$112=1),INDEX(T7:T22,$B$23),0)</f>
        <v>0</v>
      </c>
      <c r="U23" s="46" cm="1">
        <f t="array" ref="U23">IF(AND(Sestava1!$G$110=$S$5,Sestava1!$W$112=1),INDEX(U7:U22,$B$23),0)</f>
        <v>0</v>
      </c>
      <c r="V23" s="46" cm="1">
        <f t="array" ref="V23">IF(AND(Sestava1!$G$110=$S$5,Sestava1!$W$112=1),INDEX(V7:V22,$B$23),0)</f>
        <v>0</v>
      </c>
      <c r="W23" s="46" cm="1">
        <f t="array" ref="W23">IF(AND(Sestava1!$G$110=$W$5,Sestava1!$W$112=2),INDEX(W7:W22,$B$23),0)</f>
        <v>0</v>
      </c>
      <c r="X23" s="46" cm="1">
        <f t="array" ref="X23">IF(AND(Sestava1!$G$110=$W$5,Sestava1!$W$112=2),INDEX(X7:X22,$B$23),0)</f>
        <v>0</v>
      </c>
      <c r="Y23" s="46" cm="1">
        <f t="array" ref="Y23">IF(AND(Sestava1!$G$114=Y2,Sestava1!$W$114=Překlady!C97),INDEX(Y7:Y22,$B$23),0)</f>
        <v>0</v>
      </c>
      <c r="Z23" s="46" cm="1">
        <f t="array" ref="Z23">IF(AND(Sestava1!$G$114=Y2,Sestava1!$W$114=Překlady!C97),INDEX(Z7:Z22,$B$23),0)</f>
        <v>0</v>
      </c>
      <c r="AA23" s="46" cm="1">
        <f t="array" ref="AA23">IF(AND(Sestava1!$G$114=$AA$2,Sestava1!$W$114=Překlady!C98),INDEX(AA7:AA22,$B$23),0)</f>
        <v>0</v>
      </c>
      <c r="AB23" s="46" cm="1">
        <f t="array" ref="AB23">IF(AND(Sestava1!$G$114=$AA$2,Sestava1!$W$114=Překlady!C98),INDEX(AB7:AB22,$B$23),0)</f>
        <v>0</v>
      </c>
      <c r="AC23" s="46" cm="1">
        <f t="array" ref="AC23">IF(AND(Sestava1!$G$114=$AA$2,Sestava1!$W$114=Překlady!C98),INDEX(AC7:AC22,$B$23),0)</f>
        <v>0</v>
      </c>
      <c r="AD23" s="46" cm="1">
        <f t="array" ref="AD23">IF(AND(Sestava1!$G$114=$AD$2,Sestava1!$W$114=Překlady!C97),INDEX(AD7:AD22,$B$23),0)</f>
        <v>0</v>
      </c>
      <c r="AE23" s="46" cm="1">
        <f t="array" ref="AE23">IF(AND(Sestava1!$G$114=$AD$2,Sestava1!$W$114=Překlady!C97),INDEX(AE7:AE22,$B$23),0)</f>
        <v>0</v>
      </c>
      <c r="AF23" s="46" cm="1">
        <f t="array" ref="AF23">IF(AND(Sestava1!$G$114=$AD$2,Sestava1!$W$114=Překlady!C97),INDEX(AF7:AF22,$B$23),0)</f>
        <v>0</v>
      </c>
      <c r="AG23" s="46" t="e" cm="1">
        <f t="array" ref="AG23">IF(AND(Sestava1!$G$114=$AG$2,Sestava1!$W$114=Překlady!C98),INDEX(AG7:AG22,$B$23),0)</f>
        <v>#REF!</v>
      </c>
      <c r="AH23" s="46" t="e" cm="1">
        <f t="array" ref="AH23">IF(AND(Sestava1!$G$114=$AG$2,Sestava1!$W$114=Překlady!C98),INDEX(AH7:AH22,$B$23),0)</f>
        <v>#REF!</v>
      </c>
      <c r="AI23" s="46" t="e" cm="1">
        <f t="array" ref="AI23">IF(AND(Sestava1!$G$114=$AG$2,Sestava1!$W$114=Překlady!C98),INDEX(AI7:AI22,$B$23),0)</f>
        <v>#REF!</v>
      </c>
      <c r="AJ23" s="46" cm="1">
        <f t="array" ref="AJ23">IF(AND(Sestava1!$G$112=$AJ$2,Sestava1!$W$112=1),INDEX(AJ7:AJ22,$B$23),0)</f>
        <v>0</v>
      </c>
      <c r="AK23" s="46" cm="1">
        <f t="array" ref="AK23">IF(AND(Sestava1!$G$112=$AJ$2,Sestava1!$W$112=1),INDEX(AK7:AK22,$B$23),0)</f>
        <v>0</v>
      </c>
      <c r="AL23" s="46" cm="1">
        <f t="array" ref="AL23">IF(AND(Sestava1!$G$112=$AJ$2,Sestava1!$W$112=1),INDEX(AL7:AL22,$B$23),0)</f>
        <v>0</v>
      </c>
      <c r="AM23" s="46" cm="1">
        <f t="array" ref="AM23">IF(AND(Sestava1!$G$112=$AM$2,Sestava1!$W$112=2),INDEX(AM7:AM22,$B$23),0)</f>
        <v>0</v>
      </c>
      <c r="AN23" s="46" cm="1">
        <f t="array" ref="AN23">IF(AND(Sestava1!$G$112=$AM$2,Sestava1!$W$112=2),INDEX(AN7:AN22,$B$23),0)</f>
        <v>0</v>
      </c>
      <c r="AO23" s="46" cm="1">
        <f t="array" ref="AO23">IF(AND(Sestava1!$G$112=$AM$2,Sestava1!$W$112=2),INDEX(AO7:AO22,$B$23),0)</f>
        <v>0</v>
      </c>
      <c r="AP23" s="46" cm="1">
        <f t="array" ref="AP23">IF(AND(Sestava1!$G$112=$AP$2,Sestava1!$W$112=1),INDEX(AP7:AP22,$B$23),0)</f>
        <v>0</v>
      </c>
      <c r="AQ23" s="46" cm="1">
        <f t="array" ref="AQ23">IF(AND(Sestava1!$G$112=$AP$2,Sestava1!$W$112=1),INDEX(AQ7:AQ22,$B$23),0)</f>
        <v>0</v>
      </c>
      <c r="AR23" s="46" cm="1">
        <f t="array" ref="AR23">IF(AND(Sestava1!$G$112=$AP$2,Sestava1!$W$112=1),INDEX(AR7:AR22,$B$23),0)</f>
        <v>0</v>
      </c>
      <c r="AS23" s="46" cm="1">
        <f t="array" ref="AS23">IF(AND(Sestava1!$G$112=$AS$2,Sestava1!$W$112=2),INDEX(AS7:AS22,$B$23),0)</f>
        <v>0</v>
      </c>
      <c r="AT23" s="46" cm="1">
        <f t="array" ref="AT23">IF(AND(Sestava1!$G$112=$AS$2,Sestava1!$W$112=2),INDEX(AT7:AT22,$B$23),0)</f>
        <v>0</v>
      </c>
      <c r="AU23" s="46" cm="1">
        <f t="array" ref="AU23">IF(AND(Sestava1!$G$112=$AS$2,Sestava1!$W$112=2),INDEX(AU7:AU22,$B$23),0)</f>
        <v>0</v>
      </c>
      <c r="AV23" s="46" cm="1">
        <f t="array" ref="AV23">IF(AND(Sestava1!$G$112=$AV$2,Sestava1!$W$112=1),INDEX(AV7:AV22,$B$23),0)</f>
        <v>0</v>
      </c>
      <c r="AW23" s="46" cm="1">
        <f t="array" ref="AW23">IF(AND(Sestava1!$G$112=$AV$2,Sestava1!$W$112=1),INDEX(AW7:AW22,$B$23),0)</f>
        <v>0</v>
      </c>
      <c r="AX23" s="46" cm="1">
        <f t="array" ref="AX23">IF(AND(Sestava1!$G$112=$AV$2,Sestava1!$W$112=1),INDEX(AX7:AX22,$B$23),0)</f>
        <v>0</v>
      </c>
      <c r="AY23" s="46" t="e" cm="1">
        <f t="array" ref="AY23">IF(AND(Sestava1!$G$112=$AY$2,Sestava1!$W$112=2),INDEX(AY7:AY22,$B$23),0)</f>
        <v>#REF!</v>
      </c>
      <c r="AZ23" s="46" t="e" cm="1">
        <f t="array" ref="AZ23">IF(AND(Sestava1!$G$112=$AY$2,Sestava1!$W$112=2),INDEX(AZ7:AZ22,$B$23),0)</f>
        <v>#REF!</v>
      </c>
      <c r="BA23" s="46" t="e" cm="1">
        <f t="array" ref="BA23">IF(AND(Sestava1!$G$112=$AY$2,Sestava1!$W$112=2),INDEX(BA7:BA22,$B$23),0)</f>
        <v>#REF!</v>
      </c>
      <c r="BB23" s="46" cm="1">
        <f t="array" ref="BB23">IF(AND(Sestava1!$G$112=$BB$2,Sestava1!$W$112=1),INDEX(BB7:BB22,$B$23),0)</f>
        <v>0</v>
      </c>
      <c r="BC23" s="46" cm="1">
        <f t="array" ref="BC23">IF(AND(Sestava1!$G$112=$BB$2,Sestava1!$W$112=1),INDEX(BC7:BC22,$B$23),0)</f>
        <v>0</v>
      </c>
      <c r="BD23" s="46" cm="1">
        <f t="array" ref="BD23">IF(AND(Sestava1!$G$112=$BB$2,Sestava1!$W$112=1),INDEX(BD7:BD22,$B$23),0)</f>
        <v>0</v>
      </c>
      <c r="BE23" s="46" cm="1">
        <f t="array" ref="BE23">IF(AND(Sestava1!$G$112=$BB$2,Sestava1!$W$112=1),INDEX(BE7:BE22,$B$23),0)</f>
        <v>0</v>
      </c>
      <c r="BF23" s="46" cm="1">
        <f t="array" ref="BF23">IF(AND(Sestava1!$G$112=$BF$2,Sestava1!$W$112=2),INDEX(BF7:BF22,$B$23),0)</f>
        <v>0</v>
      </c>
      <c r="BG23" s="46" cm="1">
        <f t="array" ref="BG23">IF(AND(Sestava1!$G$112=$BF$2,Sestava1!$W$112=2),INDEX(BG7:BG22,$B$23),0)</f>
        <v>0</v>
      </c>
      <c r="BH23" s="46" cm="1">
        <f t="array" ref="BH23">IF(AND(Sestava1!$G$112=$BF$2,Sestava1!$W$112=2),INDEX(BH7:BH22,$B$23),0)</f>
        <v>0</v>
      </c>
      <c r="BI23" s="46" cm="1">
        <f t="array" ref="BI23">IF(AND(Sestava1!$G$112=$BF$2,Sestava1!$W$112=2),INDEX(BI7:BI22,$B$23),0)</f>
        <v>0</v>
      </c>
      <c r="BJ23" s="46" cm="1">
        <f t="array" ref="BJ23">IF(AND(Sestava1!$G$112=$BJ$2,Sestava1!$W$112=1),INDEX(BJ7:BJ22,$B$23),0)</f>
        <v>0</v>
      </c>
      <c r="BK23" s="46" cm="1">
        <f t="array" ref="BK23">IF(AND(Sestava1!$G$112=$BJ$2,Sestava1!$W$112=1),INDEX(BK7:BK22,$B$23),0)</f>
        <v>0</v>
      </c>
      <c r="BL23" s="46" cm="1">
        <f t="array" ref="BL23">IF(AND(Sestava1!$G$112=$BL$2,Sestava1!$W$112=2),INDEX(BL7:BL22,$B$23),0)</f>
        <v>0</v>
      </c>
      <c r="BM23" s="46" cm="1">
        <f t="array" ref="BM23">IF(AND(Sestava1!$G$112=$BL$2,Sestava1!$W$112=2),INDEX(BM7:BM22,$B$23),0)</f>
        <v>0</v>
      </c>
      <c r="BN23" s="46" cm="1">
        <f t="array" ref="BN23">IF(AND(Sestava1!$G$112=$BL$2,Sestava1!$W$112=2),INDEX(BN7:BN22,$B$23),0)</f>
        <v>0</v>
      </c>
      <c r="BO23" s="46" cm="1">
        <f t="array" ref="BO23">IF(AND(Sestava1!$G$112=$BO$2,Sestava1!$W$112=1),INDEX(BO7:BO22,$B$23),0)</f>
        <v>0</v>
      </c>
      <c r="BP23" s="46" cm="1">
        <f t="array" ref="BP23">IF(AND(Sestava1!$G$112=$BO$2,Sestava1!$W$112=1),INDEX(BP7:BP22,$B$23),0)</f>
        <v>0</v>
      </c>
      <c r="BQ23" s="46" cm="1">
        <f t="array" ref="BQ23">IF(AND(Sestava1!$G$112=$BQ$2,Sestava1!$W$112=2),INDEX(BQ7:BQ22,$B$23),0)</f>
        <v>0</v>
      </c>
      <c r="BR23" s="46" cm="1">
        <f t="array" ref="BR23">IF(AND(Sestava1!$G$112=$BQ$2,Sestava1!$W$112=2),INDEX(BR7:BR22,$B$23),0)</f>
        <v>0</v>
      </c>
      <c r="BS23" s="46" cm="1">
        <f t="array" ref="BS23">IF(AND(Sestava1!$G$112=$BQ$2,Sestava1!$W$112=2),INDEX(BS7:BS22,$B$23),0)</f>
        <v>0</v>
      </c>
    </row>
    <row r="25" spans="2:72" x14ac:dyDescent="0.25">
      <c r="C25" s="27">
        <v>1</v>
      </c>
      <c r="D25" s="27" t="s">
        <v>5827</v>
      </c>
    </row>
    <row r="26" spans="2:72" x14ac:dyDescent="0.25">
      <c r="C26" s="27">
        <v>3</v>
      </c>
      <c r="D26" s="27" t="s">
        <v>5828</v>
      </c>
    </row>
    <row r="27" spans="2:72" x14ac:dyDescent="0.25">
      <c r="C27" s="27">
        <v>2</v>
      </c>
      <c r="D27" s="27" t="s">
        <v>5829</v>
      </c>
    </row>
    <row r="29" spans="2:72" x14ac:dyDescent="0.25">
      <c r="C29">
        <f>COUNTIF($I$23:$BS$23,"&gt;0")</f>
        <v>0</v>
      </c>
    </row>
    <row r="30" spans="2:72" x14ac:dyDescent="0.25">
      <c r="E30" t="str">
        <f>IF($C$29&gt;0,HLOOKUP(1,$I$1:$BS$6,6,0),"")</f>
        <v/>
      </c>
      <c r="F30" t="str">
        <f>IF($C$29&gt;0,HLOOKUP(1,$I$1:$BS$22,6+$B$23,0),"")</f>
        <v/>
      </c>
    </row>
    <row r="31" spans="2:72" x14ac:dyDescent="0.25">
      <c r="E31" t="str">
        <f>IF($C$29&gt;1,HLOOKUP(2,$I$1:$BS$6,6,0),"")</f>
        <v/>
      </c>
      <c r="F31" t="str">
        <f>IF($C$29&gt;1,HLOOKUP(2,$I$1:$BS$22,6+$B$23,0),"")</f>
        <v/>
      </c>
    </row>
    <row r="32" spans="2:72" x14ac:dyDescent="0.25">
      <c r="E32" t="str">
        <f>IF($C$29&gt;2,HLOOKUP(3,$G$1:$BS$6,6,0),"")</f>
        <v/>
      </c>
      <c r="F32" t="str">
        <f>IF($C$29&gt;2,HLOOKUP(3,$G$1:$BS$22,6+$B$23,0),"")</f>
        <v/>
      </c>
    </row>
    <row r="33" spans="1:6" x14ac:dyDescent="0.25">
      <c r="E33" t="str">
        <f>IF($C$29&gt;3,HLOOKUP(4,$G$1:$BS$6,6,0),"")</f>
        <v/>
      </c>
      <c r="F33" t="str">
        <f>IF($C$29&gt;3,HLOOKUP(4,$G$1:$BS$22,6+$B$23,0),"")</f>
        <v/>
      </c>
    </row>
    <row r="36" spans="1:6" x14ac:dyDescent="0.25">
      <c r="D36" t="s">
        <v>5784</v>
      </c>
      <c r="E36" t="s">
        <v>5785</v>
      </c>
    </row>
    <row r="37" spans="1:6" x14ac:dyDescent="0.25">
      <c r="A37" t="e">
        <f>CONCATENATE(Překlady!$C$85,"_",F37,)</f>
        <v>#N/A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 t="e">
        <f>IF(D37&gt;=Sestava1!$AM$120,1,0)</f>
        <v>#N/A</v>
      </c>
    </row>
    <row r="38" spans="1:6" x14ac:dyDescent="0.25">
      <c r="A38" t="e">
        <f>CONCATENATE(Překlady!$C$85,"_",F38,)</f>
        <v>#N/A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 t="e">
        <f>IF(D38&gt;=Sestava1!$AM$120,1+F37,0)</f>
        <v>#N/A</v>
      </c>
    </row>
    <row r="39" spans="1:6" x14ac:dyDescent="0.25">
      <c r="A39" t="e">
        <f>CONCATENATE(Překlady!$C$85,"_",F39,)</f>
        <v>#N/A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 t="e">
        <f>IF(D39&gt;=Sestava1!$AM$120,1+MAX($F$37:F38),0)</f>
        <v>#N/A</v>
      </c>
    </row>
    <row r="40" spans="1:6" x14ac:dyDescent="0.25">
      <c r="A40" t="e">
        <f>CONCATENATE(Překlady!$C$85,"_",F40,)</f>
        <v>#N/A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 t="e">
        <f>IF(D40&gt;=Sestava1!$AM$120,1+MAX($F$37:F39),0)</f>
        <v>#N/A</v>
      </c>
    </row>
    <row r="41" spans="1:6" x14ac:dyDescent="0.25">
      <c r="A41" t="e">
        <f>CONCATENATE(Překlady!$C$85,"_",F41,)</f>
        <v>#N/A</v>
      </c>
      <c r="B41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 t="e">
        <f>IF(D41&gt;=Sestava1!$AM$120,1+MAX($F$37:F40),0)</f>
        <v>#N/A</v>
      </c>
    </row>
    <row r="42" spans="1:6" x14ac:dyDescent="0.25">
      <c r="A42" t="e">
        <f>CONCATENATE(Překlady!$C$85,"_",F42,)</f>
        <v>#N/A</v>
      </c>
      <c r="B42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 t="e">
        <f>IF(D42&gt;=Sestava1!$AM$120,1+MAX($F$37:F41),0)</f>
        <v>#N/A</v>
      </c>
    </row>
    <row r="43" spans="1:6" x14ac:dyDescent="0.25">
      <c r="A43" t="e">
        <f>CONCATENATE(Překlady!$C$85,"_",F43,)</f>
        <v>#N/A</v>
      </c>
      <c r="B43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 t="e">
        <f>IF(D43&gt;=Sestava1!$AM$120,1+MAX($F$37:F42),0)</f>
        <v>#N/A</v>
      </c>
    </row>
    <row r="46" spans="1:6" x14ac:dyDescent="0.25">
      <c r="A46" t="e">
        <f>CONCATENATE(Překlady!$C$86,"_",F46)</f>
        <v>#N/A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 t="e">
        <f>IF(D46&gt;=Sestava1!$AM$120,1,0)</f>
        <v>#N/A</v>
      </c>
    </row>
    <row r="47" spans="1:6" x14ac:dyDescent="0.25">
      <c r="A47" t="e">
        <f>CONCATENATE(Překlady!$C$86,"_",F47)</f>
        <v>#N/A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 t="e">
        <f>IF(D47&gt;=Sestava1!$AM$120,1+F46,0)</f>
        <v>#N/A</v>
      </c>
    </row>
    <row r="48" spans="1:6" x14ac:dyDescent="0.25">
      <c r="A48" t="e">
        <f>CONCATENATE(Překlady!$C$86,"_",F48)</f>
        <v>#N/A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 t="e">
        <f>IF(D48&gt;=Sestava1!$AM$120,1+MAX($F$46:F47),0)</f>
        <v>#N/A</v>
      </c>
    </row>
    <row r="49" spans="1:6" x14ac:dyDescent="0.25">
      <c r="A49" t="e">
        <f>CONCATENATE(Překlady!$C$86,"_",F49)</f>
        <v>#N/A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 t="e">
        <f>IF(D49&gt;=Sestava1!$AM$120,1+MAX($F$46:F48),0)</f>
        <v>#N/A</v>
      </c>
    </row>
    <row r="50" spans="1:6" x14ac:dyDescent="0.25">
      <c r="A50" t="e">
        <f>CONCATENATE(Překlady!$C$86,"_",F50)</f>
        <v>#N/A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 t="e">
        <f>IF(D50&gt;=Sestava1!$AM$120,1+MAX($F$46:F49),0)</f>
        <v>#N/A</v>
      </c>
    </row>
    <row r="51" spans="1:6" x14ac:dyDescent="0.25">
      <c r="A51" t="e">
        <f>CONCATENATE(Překlady!$C$86,"_",F51)</f>
        <v>#N/A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 t="e">
        <f>IF(D51&gt;=Sestava1!$AM$120,1+MAX($F$46:F50),0)</f>
        <v>#N/A</v>
      </c>
    </row>
    <row r="52" spans="1:6" x14ac:dyDescent="0.25">
      <c r="A52" t="e">
        <f>CONCATENATE(Překlady!$C$86,"_",F52)</f>
        <v>#N/A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 t="e">
        <f>IF(D52&gt;=Sestava1!$AM$120,1+MAX($F$46:F51),0)</f>
        <v>#N/A</v>
      </c>
    </row>
    <row r="53" spans="1:6" x14ac:dyDescent="0.25">
      <c r="A53" t="e">
        <f>CONCATENATE(Překlady!$C$86,"_",F53)</f>
        <v>#N/A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 t="e">
        <f>IF(D53&gt;=Sestava1!$AM$120,1+MAX($F$46:F52),0)</f>
        <v>#N/A</v>
      </c>
    </row>
    <row r="54" spans="1:6" x14ac:dyDescent="0.25">
      <c r="A54" t="e">
        <f>CONCATENATE(Překlady!$C$86,"_",F54)</f>
        <v>#N/A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 t="e">
        <f>IF(D54&gt;=Sestava1!$AM$120,1+MAX($F$46:F53),0)</f>
        <v>#N/A</v>
      </c>
    </row>
    <row r="55" spans="1:6" x14ac:dyDescent="0.25">
      <c r="A55" t="e">
        <f>CONCATENATE(Překlady!$C$86,"_",F55)</f>
        <v>#N/A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 t="e">
        <f>IF(D55&gt;=Sestava1!$AM$120,1+MAX($F$46:F54),0)</f>
        <v>#N/A</v>
      </c>
    </row>
    <row r="57" spans="1:6" x14ac:dyDescent="0.25">
      <c r="C57" s="70" t="s">
        <v>5784</v>
      </c>
      <c r="D57" s="70" t="s">
        <v>5785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IF(Produkty!$B$214=Sestava1!$G$114,Produkty!$E$214,IF(Produkty!$B$215=Sestava1!$G$114,Produkty!$E$215,IF(Produkty!$B$216=Sestava1!$G$114,Produkty!$E$216,0)))</f>
        <v>0</v>
      </c>
      <c r="D78" s="30">
        <f>IF(Produkty!$B$214=Sestava1!$G$114,Produkty!$F$214,IF(Produkty!$B$215=Sestava1!$G$114,Produkty!$F$215,IF(Produkty!$B$216=Sestava1!$G$114,Produkty!$F$216,0)))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IF(Produkty!$B$214=Sestava1!$G$114,Produkty!$E$214,IF(Produkty!$B$215=Sestava1!$G$114,Produkty!$E$215,IF(Produkty!$B$216=Sestava1!$G$114,Produkty!$E$216,0)))</f>
        <v>0</v>
      </c>
      <c r="D79" s="30">
        <f>IF(Produkty!$B$214=Sestava1!$G$114,Produkty!$F$214,IF(Produkty!$B$215=Sestava1!$G$114,Produkty!$F$215,IF(Produkty!$B$216=Sestava1!$G$114,Produkty!$F$216,0)))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IF(Produkty!$B$214=Sestava1!$G$114,Produkty!$E$214,IF(Produkty!$B$215=Sestava1!$G$114,Produkty!$E$215,IF(Produkty!$B$216=Sestava1!$G$114,Produkty!$E$216,0)))</f>
        <v>0</v>
      </c>
      <c r="D80" s="30">
        <f>IF(Produkty!$B$214=Sestava1!$G$114,Produkty!$F$214,IF(Produkty!$B$215=Sestava1!$G$114,Produkty!$F$215,IF(Produkty!$B$216=Sestava1!$G$114,Produkty!$F$216,0)))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IF(Produkty!$B$214=Sestava1!$G$114,Produkty!$E$214,IF(Produkty!$B$215=Sestava1!$G$114,Produkty!$E$215,IF(Produkty!$B$216=Sestava1!$G$114,Produkty!$E$216,0)))</f>
        <v>0</v>
      </c>
      <c r="D81" s="30">
        <f>IF(Produkty!$B$214=Sestava1!$G$114,Produkty!$F$214,IF(Produkty!$B$215=Sestava1!$G$114,Produkty!$F$215,IF(Produkty!$B$216=Sestava1!$G$114,Produkty!$F$216,0)))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IF(Produkty!$B$214=Sestava1!$G$114,Produkty!$E$214,IF(Produkty!$B$215=Sestava1!$G$114,Produkty!$E$215,IF(Produkty!$B$216=Sestava1!$G$114,Produkty!$E$216,0)))</f>
        <v>0</v>
      </c>
      <c r="D82" s="30">
        <f>IF(Produkty!$B$214=Sestava1!$G$114,Produkty!$F$214,IF(Produkty!$B$215=Sestava1!$G$114,Produkty!$F$215,IF(Produkty!$B$216=Sestava1!$G$114,Produkty!$F$216,0)))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IF(Produkty!$B$214=Sestava1!$G$114,Produkty!$E$214,IF(Produkty!$B$215=Sestava1!$G$114,Produkty!$E$215,IF(Produkty!$B$216=Sestava1!$G$114,Produkty!$E$216,0)))</f>
        <v>0</v>
      </c>
      <c r="D83" s="30">
        <f>IF(Produkty!$B$214=Sestava1!$G$114,Produkty!$F$214,IF(Produkty!$B$215=Sestava1!$G$114,Produkty!$F$215,IF(Produkty!$B$216=Sestava1!$G$114,Produkty!$F$216,0)))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IF(Produkty!$B$214=Sestava1!$G$114,Produkty!$E$214,IF(Produkty!$B$215=Sestava1!$G$114,Produkty!$E$215,IF(Produkty!$B$216=Sestava1!$G$114,Produkty!$E$216,0)))</f>
        <v>0</v>
      </c>
      <c r="D84" s="30">
        <f>IF(Produkty!$B$214=Sestava1!$G$114,Produkty!$F$214,IF(Produkty!$B$215=Sestava1!$G$114,Produkty!$F$215,IF(Produkty!$B$216=Sestava1!$G$114,Produkty!$F$216,0)))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IF(Produkty!$B$214=Sestava1!$G$114,Produkty!$E$214,IF(Produkty!$B$215=Sestava1!$G$114,Produkty!$E$215,IF(Produkty!$B$216=Sestava1!$G$114,Produkty!$E$216,0)))</f>
        <v>0</v>
      </c>
      <c r="D85" s="30">
        <f>IF(Produkty!$B$214=Sestava1!$G$114,Produkty!$F$214,IF(Produkty!$B$215=Sestava1!$G$114,Produkty!$F$215,IF(Produkty!$B$216=Sestava1!$G$114,Produkty!$F$216,0)))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IF(Produkty!$B$214=Sestava1!$G$114,Produkty!$E$214,IF(Produkty!$B$215=Sestava1!$G$114,Produkty!$E$215,IF(Produkty!$B$216=Sestava1!$G$114,Produkty!$E$216,0)))</f>
        <v>0</v>
      </c>
      <c r="D86" s="30">
        <f>IF(Produkty!$B$214=Sestava1!$G$114,Produkty!$F$214,IF(Produkty!$B$215=Sestava1!$G$114,Produkty!$F$215,IF(Produkty!$B$216=Sestava1!$G$114,Produkty!$F$216,0)))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IF(Produkty!$B$214=Sestava1!$G$114,Produkty!$E$214,IF(Produkty!$B$215=Sestava1!$G$114,Produkty!$E$215,IF(Produkty!$B$216=Sestava1!$G$114,Produkty!$E$216,0)))</f>
        <v>0</v>
      </c>
      <c r="D87" s="30">
        <f>IF(Produkty!$B$214=Sestava1!$G$114,Produkty!$F$214,IF(Produkty!$B$215=Sestava1!$G$114,Produkty!$F$215,IF(Produkty!$B$216=Sestava1!$G$114,Produkty!$F$216,0)))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IF(Produkty!$B$214=Sestava1!$G$114,Produkty!$E$214,IF(Produkty!$B$215=Sestava1!$G$114,Produkty!$E$215,IF(Produkty!$B$216=Sestava1!$G$114,Produkty!$E$216,0)))</f>
        <v>0</v>
      </c>
      <c r="D88" s="30">
        <f>IF(Produkty!$B$214=Sestava1!$G$114,Produkty!$F$214,IF(Produkty!$B$215=Sestava1!$G$114,Produkty!$F$215,IF(Produkty!$B$216=Sestava1!$G$114,Produkty!$F$216,0)))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IF(Produkty!$B$214=Sestava1!$G$114,Produkty!$E$214,IF(Produkty!$B$215=Sestava1!$G$114,Produkty!$E$215,IF(Produkty!$B$216=Sestava1!$G$114,Produkty!$E$216,0)))</f>
        <v>0</v>
      </c>
      <c r="D89" s="30">
        <f>IF(Produkty!$B$214=Sestava1!$G$114,Produkty!$F$214,IF(Produkty!$B$215=Sestava1!$G$114,Produkty!$F$215,IF(Produkty!$B$216=Sestava1!$G$114,Produkty!$F$216,0)))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IF(Produkty!$B$214=Sestava1!$G$114,Produkty!$E$214,IF(Produkty!$B$215=Sestava1!$G$114,Produkty!$E$215,IF(Produkty!$B$216=Sestava1!$G$114,Produkty!$E$216,0)))</f>
        <v>0</v>
      </c>
      <c r="D90" s="30">
        <f>IF(Produkty!$B$214=Sestava1!$G$114,Produkty!$F$214,IF(Produkty!$B$215=Sestava1!$G$114,Produkty!$F$215,IF(Produkty!$B$216=Sestava1!$G$114,Produkty!$F$216,0)))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IF(Produkty!$B$214=Sestava1!$G$114,Produkty!$E$214,IF(Produkty!$B$215=Sestava1!$G$114,Produkty!$E$215,IF(Produkty!$B$216=Sestava1!$G$114,Produkty!$E$216,0)))</f>
        <v>0</v>
      </c>
      <c r="D91" s="30">
        <f>IF(Produkty!$B$214=Sestava1!$G$114,Produkty!$F$214,IF(Produkty!$B$215=Sestava1!$G$114,Produkty!$F$215,IF(Produkty!$B$216=Sestava1!$G$114,Produkty!$F$216,0)))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IF(Produkty!$B$214=Sestava1!$G$114,Produkty!$E$214,IF(Produkty!$B$215=Sestava1!$G$114,Produkty!$E$215,IF(Produkty!$B$216=Sestava1!$G$114,Produkty!$E$216,0)))</f>
        <v>0</v>
      </c>
      <c r="D92" s="30">
        <f>IF(Produkty!$B$214=Sestava1!$G$114,Produkty!$F$214,IF(Produkty!$B$215=Sestava1!$G$114,Produkty!$F$215,IF(Produkty!$B$216=Sestava1!$G$114,Produkty!$F$216,0)))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IF(Produkty!B228=Sestava1!G114,Produkty!E228,IF(Produkty!B229=Sestava1!G114,Produkty!E229,0))</f>
        <v>0</v>
      </c>
      <c r="D98" s="30">
        <f>IF(Produkty!B228=Sestava1!G114,Produkty!F228,IF(Produkty!B229=Sestava1!G114,Produkty!F229,0))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IF(Produkty!B228=Sestava1!G114,Produkty!E228,IF(Produkty!B229=Sestava1!G114,Produkty!E229,0))</f>
        <v>0</v>
      </c>
      <c r="D99" s="30">
        <f>IF(Produkty!B228=Sestava1!G114,Produkty!F228,IF(Produkty!B229=Sestava1!G114,Produkty!F229,0))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1">
    <mergeCell ref="BP2:BP5"/>
    <mergeCell ref="BO2:BO5"/>
    <mergeCell ref="BS2:BS5"/>
    <mergeCell ref="BQ2:BR5"/>
    <mergeCell ref="BK2:BK5"/>
    <mergeCell ref="BN2:BN5"/>
    <mergeCell ref="BL2:BM5"/>
    <mergeCell ref="BF2:BG5"/>
    <mergeCell ref="BH2:BI5"/>
    <mergeCell ref="BJ2:BJ5"/>
    <mergeCell ref="AX2:AX5"/>
    <mergeCell ref="AY2:AZ5"/>
    <mergeCell ref="BA2:BA5"/>
    <mergeCell ref="BB2:BC5"/>
    <mergeCell ref="BD2:BE5"/>
    <mergeCell ref="AP2:AQ5"/>
    <mergeCell ref="AR2:AR5"/>
    <mergeCell ref="AS2:AT5"/>
    <mergeCell ref="AU2:AU5"/>
    <mergeCell ref="AV2:AW5"/>
    <mergeCell ref="AI2:AI5"/>
    <mergeCell ref="AJ2:AK5"/>
    <mergeCell ref="AL2:AL5"/>
    <mergeCell ref="AM2:AN5"/>
    <mergeCell ref="AO2:AO5"/>
    <mergeCell ref="AD2:AE5"/>
    <mergeCell ref="AF2:AF5"/>
    <mergeCell ref="AG2:AH5"/>
    <mergeCell ref="Z2:Z5"/>
    <mergeCell ref="AC2:AC5"/>
    <mergeCell ref="AA2:AB5"/>
    <mergeCell ref="Y2:Y5"/>
    <mergeCell ref="C5:D5"/>
    <mergeCell ref="I5:L5"/>
    <mergeCell ref="N5:O5"/>
    <mergeCell ref="G4:H4"/>
    <mergeCell ref="G6:H6"/>
    <mergeCell ref="G7:G22"/>
    <mergeCell ref="H7:H22"/>
    <mergeCell ref="T5:V5"/>
    <mergeCell ref="X3:X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D3D1-66EB-40EA-AD9D-50118337E058}">
  <sheetPr>
    <tabColor theme="6" tint="0.59999389629810485"/>
  </sheetPr>
  <dimension ref="A1:CF147"/>
  <sheetViews>
    <sheetView showGridLines="0" showRowColHeaders="0" showZeros="0" zoomScaleNormal="100" workbookViewId="0">
      <pane ySplit="7" topLeftCell="A8" activePane="bottomLeft" state="frozen"/>
      <selection pane="bottomLeft" activeCell="G15" sqref="G15:O15"/>
    </sheetView>
  </sheetViews>
  <sheetFormatPr defaultColWidth="0" defaultRowHeight="14.4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7109375" style="7" customWidth="1"/>
    <col min="37" max="37" width="37.85546875" style="140" hidden="1" customWidth="1"/>
    <col min="38" max="38" width="13.42578125" style="7" hidden="1" customWidth="1"/>
    <col min="39" max="39" width="59.71093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16" t="str">
        <f>Překlady!$C$11&amp;" 2"</f>
        <v>Sestava 2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7"/>
      <c r="Z2" s="253" t="str">
        <f>Překlady!C7</f>
        <v>Úvod</v>
      </c>
      <c r="AA2" s="254"/>
      <c r="AB2" s="254"/>
      <c r="AC2" s="254"/>
      <c r="AD2" s="254"/>
      <c r="AE2" s="254"/>
      <c r="AF2" s="254"/>
      <c r="AG2" s="254"/>
      <c r="AH2" s="254"/>
      <c r="AI2" s="254"/>
      <c r="AJ2" s="28"/>
    </row>
    <row r="3" spans="1:42" ht="15" customHeight="1" x14ac:dyDescent="0.25">
      <c r="A3" s="25"/>
      <c r="B3" s="25"/>
      <c r="C3" s="25"/>
      <c r="D3" s="25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7"/>
      <c r="Z3" s="253"/>
      <c r="AA3" s="254"/>
      <c r="AB3" s="254"/>
      <c r="AC3" s="254"/>
      <c r="AD3" s="254"/>
      <c r="AE3" s="254"/>
      <c r="AF3" s="254"/>
      <c r="AG3" s="254"/>
      <c r="AH3" s="254"/>
      <c r="AI3" s="254"/>
      <c r="AJ3" s="28"/>
    </row>
    <row r="4" spans="1:42" ht="15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10" t="str">
        <f>Překlady!$C$11&amp;" 1"</f>
        <v>Sestava 1</v>
      </c>
      <c r="C5" s="210"/>
      <c r="D5" s="210"/>
      <c r="E5" s="210"/>
      <c r="H5" s="210" t="str">
        <f>Překlady!$C$11&amp;" 2"</f>
        <v>Sestava 2</v>
      </c>
      <c r="I5" s="210"/>
      <c r="J5" s="210"/>
      <c r="K5" s="210"/>
      <c r="L5" s="210"/>
      <c r="N5" s="210" t="str">
        <f>Překlady!$C$11&amp;" 3"</f>
        <v>Sestava 3</v>
      </c>
      <c r="O5" s="210"/>
      <c r="P5" s="210"/>
      <c r="Q5" s="210"/>
      <c r="R5" s="50"/>
      <c r="S5" s="210" t="str">
        <f>Překlady!$C$11&amp;" 4"</f>
        <v>Sestava 4</v>
      </c>
      <c r="T5" s="210"/>
      <c r="U5" s="210"/>
      <c r="V5" s="210"/>
      <c r="W5" s="210"/>
    </row>
    <row r="6" spans="1:42" ht="15" customHeight="1" x14ac:dyDescent="0.25">
      <c r="B6" s="210"/>
      <c r="C6" s="210"/>
      <c r="D6" s="210"/>
      <c r="E6" s="210"/>
      <c r="H6" s="210"/>
      <c r="I6" s="210"/>
      <c r="J6" s="210"/>
      <c r="K6" s="210"/>
      <c r="L6" s="210"/>
      <c r="N6" s="210"/>
      <c r="O6" s="210"/>
      <c r="P6" s="210"/>
      <c r="Q6" s="210"/>
      <c r="R6" s="50"/>
      <c r="S6" s="210"/>
      <c r="T6" s="210"/>
      <c r="U6" s="210"/>
      <c r="V6" s="210"/>
      <c r="W6" s="210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6"/>
      <c r="C10" s="147"/>
      <c r="D10" s="147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8"/>
      <c r="AI10" s="149"/>
    </row>
    <row r="11" spans="1:42" ht="15" customHeight="1" x14ac:dyDescent="0.25">
      <c r="B11" s="246" t="str">
        <f>Překlady!C54</f>
        <v>Definujte profil:</v>
      </c>
      <c r="C11" s="247"/>
      <c r="D11" s="247"/>
      <c r="E11" s="247"/>
      <c r="Q11" s="219" t="str">
        <f>Překlady!C42</f>
        <v>povrchová</v>
      </c>
      <c r="R11" s="220"/>
      <c r="S11" s="220"/>
      <c r="T11" s="220"/>
      <c r="U11" s="220"/>
      <c r="V11" s="220"/>
      <c r="W11" s="220"/>
      <c r="X11" s="221"/>
      <c r="Z11" s="255" t="str">
        <f>Překlady!C43</f>
        <v>k zafrézování</v>
      </c>
      <c r="AA11" s="256"/>
      <c r="AB11" s="256"/>
      <c r="AC11" s="256"/>
      <c r="AD11" s="256"/>
      <c r="AE11" s="256"/>
      <c r="AF11" s="256"/>
      <c r="AG11" s="256"/>
      <c r="AH11" s="256"/>
      <c r="AI11" s="257"/>
      <c r="AJ11" s="150"/>
    </row>
    <row r="12" spans="1:42" ht="15" customHeight="1" x14ac:dyDescent="0.25">
      <c r="B12" s="246"/>
      <c r="C12" s="247"/>
      <c r="D12" s="247"/>
      <c r="E12" s="247"/>
      <c r="Q12" s="222" t="s">
        <v>134</v>
      </c>
      <c r="R12" s="223"/>
      <c r="S12" s="223"/>
      <c r="T12" s="224"/>
      <c r="U12" s="225" t="s">
        <v>135</v>
      </c>
      <c r="V12" s="223"/>
      <c r="W12" s="223"/>
      <c r="X12" s="226"/>
      <c r="Z12" s="305" t="s">
        <v>136</v>
      </c>
      <c r="AA12" s="237"/>
      <c r="AB12" s="237"/>
      <c r="AC12" s="237"/>
      <c r="AD12" s="237"/>
      <c r="AE12" s="237"/>
      <c r="AF12" s="237"/>
      <c r="AG12" s="237"/>
      <c r="AH12" s="237"/>
      <c r="AI12" s="238"/>
      <c r="AJ12" s="102"/>
    </row>
    <row r="13" spans="1:42" ht="15" customHeight="1" x14ac:dyDescent="0.3">
      <c r="B13" s="104"/>
      <c r="H13" s="151"/>
      <c r="Q13" s="227"/>
      <c r="R13" s="228"/>
      <c r="S13" s="228"/>
      <c r="T13" s="229"/>
      <c r="U13" s="236"/>
      <c r="V13" s="237"/>
      <c r="W13" s="237"/>
      <c r="X13" s="238"/>
      <c r="Z13" s="213"/>
      <c r="AA13" s="213"/>
      <c r="AB13" s="213"/>
      <c r="AC13" s="213"/>
      <c r="AD13" s="213"/>
      <c r="AE13" s="213"/>
      <c r="AF13" s="213"/>
      <c r="AG13" s="213"/>
      <c r="AH13" s="213"/>
      <c r="AI13" s="263"/>
      <c r="AJ13" s="50"/>
    </row>
    <row r="14" spans="1:42" ht="15" customHeight="1" x14ac:dyDescent="0.3">
      <c r="B14" s="104"/>
      <c r="E14" s="153"/>
      <c r="F14" s="151"/>
      <c r="G14" s="151"/>
      <c r="H14" s="151"/>
      <c r="Q14" s="230"/>
      <c r="R14" s="231"/>
      <c r="S14" s="231"/>
      <c r="T14" s="232"/>
      <c r="U14" s="239"/>
      <c r="V14" s="240"/>
      <c r="W14" s="240"/>
      <c r="X14" s="241"/>
      <c r="Z14" s="213"/>
      <c r="AA14" s="213"/>
      <c r="AB14" s="213"/>
      <c r="AC14" s="213"/>
      <c r="AD14" s="213"/>
      <c r="AE14" s="213"/>
      <c r="AF14" s="213"/>
      <c r="AG14" s="213"/>
      <c r="AH14" s="213"/>
      <c r="AI14" s="263"/>
      <c r="AJ14" s="50"/>
    </row>
    <row r="15" spans="1:42" ht="15" customHeight="1" x14ac:dyDescent="0.25">
      <c r="B15" s="248" t="str">
        <f>Překlady!C47</f>
        <v>Montáž:</v>
      </c>
      <c r="C15" s="201"/>
      <c r="D15" s="201"/>
      <c r="E15" s="201"/>
      <c r="G15" s="203"/>
      <c r="H15" s="203"/>
      <c r="I15" s="203"/>
      <c r="J15" s="203"/>
      <c r="K15" s="203"/>
      <c r="L15" s="203"/>
      <c r="M15" s="203"/>
      <c r="N15" s="203"/>
      <c r="O15" s="203"/>
      <c r="Q15" s="230"/>
      <c r="R15" s="231"/>
      <c r="S15" s="231"/>
      <c r="T15" s="232"/>
      <c r="U15" s="239"/>
      <c r="V15" s="240"/>
      <c r="W15" s="240"/>
      <c r="X15" s="241"/>
      <c r="Z15" s="213"/>
      <c r="AA15" s="213"/>
      <c r="AB15" s="213"/>
      <c r="AC15" s="213"/>
      <c r="AD15" s="213"/>
      <c r="AE15" s="213"/>
      <c r="AF15" s="213"/>
      <c r="AG15" s="213"/>
      <c r="AH15" s="213"/>
      <c r="AI15" s="263"/>
      <c r="AJ15" s="50"/>
      <c r="AN15" s="7" t="s">
        <v>137</v>
      </c>
      <c r="AO15" s="7" t="e">
        <f>CONCATENATE(VLOOKUP(G15,Překlady!C42:K45,8,0),"_",VLOOKUP(G17,Překlady!C50:D52,2,0))</f>
        <v>#N/A</v>
      </c>
      <c r="AP15" s="7" t="s">
        <v>138</v>
      </c>
    </row>
    <row r="16" spans="1:42" ht="15" customHeight="1" x14ac:dyDescent="0.25">
      <c r="B16" s="154"/>
      <c r="C16" s="17"/>
      <c r="D16" s="17"/>
      <c r="Q16" s="230"/>
      <c r="R16" s="231"/>
      <c r="S16" s="231"/>
      <c r="T16" s="232"/>
      <c r="U16" s="239"/>
      <c r="V16" s="240"/>
      <c r="W16" s="240"/>
      <c r="X16" s="241"/>
      <c r="Z16" s="213"/>
      <c r="AA16" s="213"/>
      <c r="AB16" s="213"/>
      <c r="AC16" s="213"/>
      <c r="AD16" s="213"/>
      <c r="AE16" s="213"/>
      <c r="AF16" s="213"/>
      <c r="AG16" s="213"/>
      <c r="AH16" s="213"/>
      <c r="AI16" s="263"/>
      <c r="AJ16" s="50"/>
    </row>
    <row r="17" spans="2:47" ht="15" customHeight="1" x14ac:dyDescent="0.25">
      <c r="B17" s="248" t="str">
        <f>Překlady!C48</f>
        <v>Barva:</v>
      </c>
      <c r="C17" s="201"/>
      <c r="D17" s="201"/>
      <c r="E17" s="201"/>
      <c r="G17" s="203"/>
      <c r="H17" s="203"/>
      <c r="I17" s="203"/>
      <c r="J17" s="203"/>
      <c r="K17" s="203"/>
      <c r="L17" s="203"/>
      <c r="M17" s="203"/>
      <c r="N17" s="203"/>
      <c r="O17" s="203"/>
      <c r="Q17" s="230"/>
      <c r="R17" s="231"/>
      <c r="S17" s="231"/>
      <c r="T17" s="232"/>
      <c r="U17" s="239"/>
      <c r="V17" s="240"/>
      <c r="W17" s="240"/>
      <c r="X17" s="241"/>
      <c r="Z17" s="213"/>
      <c r="AA17" s="213"/>
      <c r="AB17" s="213"/>
      <c r="AC17" s="213"/>
      <c r="AD17" s="213"/>
      <c r="AE17" s="213"/>
      <c r="AF17" s="213"/>
      <c r="AG17" s="213"/>
      <c r="AH17" s="213"/>
      <c r="AI17" s="263"/>
      <c r="AJ17" s="50"/>
    </row>
    <row r="18" spans="2:47" ht="15" customHeight="1" x14ac:dyDescent="0.25">
      <c r="B18" s="104"/>
      <c r="G18" s="307" t="str">
        <f>IFERROR((IF(VLOOKUP(G19,Produkty!B3:L50,11,0)=G17,"",Překlady!C101)),"")</f>
        <v/>
      </c>
      <c r="H18" s="307"/>
      <c r="I18" s="307"/>
      <c r="J18" s="307"/>
      <c r="K18" s="307"/>
      <c r="L18" s="307"/>
      <c r="M18" s="307"/>
      <c r="N18" s="307"/>
      <c r="O18" s="307"/>
      <c r="Q18" s="230"/>
      <c r="R18" s="231"/>
      <c r="S18" s="231"/>
      <c r="T18" s="232"/>
      <c r="U18" s="239"/>
      <c r="V18" s="240"/>
      <c r="W18" s="240"/>
      <c r="X18" s="241"/>
      <c r="Z18" s="213"/>
      <c r="AA18" s="213"/>
      <c r="AB18" s="213"/>
      <c r="AC18" s="213"/>
      <c r="AD18" s="213"/>
      <c r="AE18" s="213"/>
      <c r="AF18" s="213"/>
      <c r="AG18" s="213"/>
      <c r="AH18" s="213"/>
      <c r="AI18" s="263"/>
      <c r="AJ18" s="50"/>
    </row>
    <row r="19" spans="2:47" ht="15" customHeight="1" thickBot="1" x14ac:dyDescent="0.3">
      <c r="B19" s="248" t="str">
        <f>Překlady!C41</f>
        <v>Profil:</v>
      </c>
      <c r="C19" s="201"/>
      <c r="D19" s="201"/>
      <c r="E19" s="201"/>
      <c r="G19" s="245"/>
      <c r="H19" s="245"/>
      <c r="I19" s="245"/>
      <c r="J19" s="245"/>
      <c r="K19" s="245"/>
      <c r="L19" s="245"/>
      <c r="M19" s="245"/>
      <c r="N19" s="245"/>
      <c r="O19" s="245"/>
      <c r="Q19" s="233"/>
      <c r="R19" s="234"/>
      <c r="S19" s="234"/>
      <c r="T19" s="235"/>
      <c r="U19" s="242"/>
      <c r="V19" s="243"/>
      <c r="W19" s="243"/>
      <c r="X19" s="244"/>
      <c r="Z19" s="213"/>
      <c r="AA19" s="213"/>
      <c r="AB19" s="213"/>
      <c r="AC19" s="213"/>
      <c r="AD19" s="213"/>
      <c r="AE19" s="213"/>
      <c r="AF19" s="213"/>
      <c r="AG19" s="213"/>
      <c r="AH19" s="213"/>
      <c r="AI19" s="263"/>
      <c r="AJ19" s="50"/>
      <c r="AN19" s="7" t="s">
        <v>140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307" t="str">
        <f>IFERROR((IF(OR(AT22=$G$21,AT23=$G$21,AT24=$G$21,AT25=$G$21,AT26=$G$21),"",Překlady!C101)),"")</f>
        <v/>
      </c>
      <c r="H20" s="307"/>
      <c r="I20" s="307"/>
      <c r="J20" s="307"/>
      <c r="K20" s="307"/>
      <c r="L20" s="307"/>
      <c r="M20" s="307"/>
      <c r="N20" s="307"/>
      <c r="O20" s="307"/>
      <c r="Q20" s="264"/>
      <c r="R20" s="265"/>
      <c r="S20" s="265"/>
      <c r="T20" s="265"/>
      <c r="U20" s="265"/>
      <c r="V20" s="265"/>
      <c r="W20" s="265"/>
      <c r="X20" s="266"/>
      <c r="Z20" s="213"/>
      <c r="AA20" s="213"/>
      <c r="AB20" s="213"/>
      <c r="AC20" s="213"/>
      <c r="AD20" s="213"/>
      <c r="AE20" s="213"/>
      <c r="AF20" s="213"/>
      <c r="AG20" s="213"/>
      <c r="AH20" s="213"/>
      <c r="AI20" s="263"/>
      <c r="AJ20" s="50"/>
      <c r="AO20" s="7" t="str">
        <v>černá</v>
      </c>
    </row>
    <row r="21" spans="2:47" ht="15" customHeight="1" x14ac:dyDescent="0.25">
      <c r="B21" s="248" t="str">
        <f>Překlady!C81</f>
        <v>Délka (mm):</v>
      </c>
      <c r="C21" s="201"/>
      <c r="D21" s="201"/>
      <c r="E21" s="201"/>
      <c r="G21" s="203"/>
      <c r="H21" s="203"/>
      <c r="I21" s="203"/>
      <c r="J21" s="203"/>
      <c r="K21" s="203"/>
      <c r="L21" s="203"/>
      <c r="M21" s="203"/>
      <c r="N21" s="203"/>
      <c r="O21" s="203"/>
      <c r="Q21" s="230"/>
      <c r="R21" s="231"/>
      <c r="S21" s="231"/>
      <c r="T21" s="231"/>
      <c r="U21" s="231"/>
      <c r="V21" s="231"/>
      <c r="W21" s="231"/>
      <c r="X21" s="267"/>
      <c r="Z21" s="213"/>
      <c r="AA21" s="213"/>
      <c r="AB21" s="213"/>
      <c r="AC21" s="213"/>
      <c r="AD21" s="213"/>
      <c r="AE21" s="213"/>
      <c r="AF21" s="213"/>
      <c r="AG21" s="213"/>
      <c r="AH21" s="213"/>
      <c r="AI21" s="263"/>
      <c r="AJ21" s="50"/>
      <c r="AO21" s="7" t="str">
        <v>stříbrná</v>
      </c>
      <c r="AT21" s="17" t="s">
        <v>141</v>
      </c>
      <c r="AU21" s="7" t="e">
        <f>IF(OR(AT22=$G$21,AT23=$G$21,AT24=$G$21,AT25=$G$21),"",Překlady!D101)</f>
        <v>#N/A</v>
      </c>
    </row>
    <row r="22" spans="2:47" ht="15" customHeight="1" x14ac:dyDescent="0.25">
      <c r="B22" s="154"/>
      <c r="C22" s="17"/>
      <c r="D22" s="17"/>
      <c r="Q22" s="230"/>
      <c r="R22" s="231"/>
      <c r="S22" s="231"/>
      <c r="T22" s="231"/>
      <c r="U22" s="231"/>
      <c r="V22" s="231"/>
      <c r="W22" s="231"/>
      <c r="X22" s="267"/>
      <c r="Z22" s="213"/>
      <c r="AA22" s="213"/>
      <c r="AB22" s="213"/>
      <c r="AC22" s="213"/>
      <c r="AD22" s="213"/>
      <c r="AE22" s="213"/>
      <c r="AF22" s="213"/>
      <c r="AG22" s="213"/>
      <c r="AH22" s="213"/>
      <c r="AI22" s="263"/>
      <c r="AJ22" s="50"/>
      <c r="AP22" s="17" t="s">
        <v>142</v>
      </c>
      <c r="AQ22" s="7" t="e">
        <f>VLOOKUP(CONCATENATE(G19,"_",G21),Produkty!A3:C50,3,0)</f>
        <v>#N/A</v>
      </c>
      <c r="AS22" s="7" t="s">
        <v>143</v>
      </c>
      <c r="AT22" s="7" t="e">
        <f>VLOOKUP($G$19,Produkty!$B$3:$X$50,20,0)</f>
        <v>#N/A</v>
      </c>
    </row>
    <row r="23" spans="2:47" ht="15" customHeight="1" x14ac:dyDescent="0.25">
      <c r="B23" s="248" t="str">
        <f>Překlady!C82</f>
        <v>Množství (ks):</v>
      </c>
      <c r="C23" s="201"/>
      <c r="D23" s="201"/>
      <c r="E23" s="201"/>
      <c r="G23" s="203"/>
      <c r="H23" s="203"/>
      <c r="I23" s="203"/>
      <c r="J23" s="203"/>
      <c r="K23" s="203"/>
      <c r="L23" s="203"/>
      <c r="M23" s="203"/>
      <c r="N23" s="203"/>
      <c r="O23" s="203"/>
      <c r="Q23" s="230"/>
      <c r="R23" s="231"/>
      <c r="S23" s="231"/>
      <c r="T23" s="231"/>
      <c r="U23" s="231"/>
      <c r="V23" s="231"/>
      <c r="W23" s="231"/>
      <c r="X23" s="267"/>
      <c r="Z23" s="213"/>
      <c r="AA23" s="213"/>
      <c r="AB23" s="213"/>
      <c r="AC23" s="213"/>
      <c r="AD23" s="213"/>
      <c r="AE23" s="213"/>
      <c r="AF23" s="213"/>
      <c r="AG23" s="213"/>
      <c r="AH23" s="213"/>
      <c r="AI23" s="263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54"/>
      <c r="C24" s="17"/>
      <c r="D24" s="17"/>
      <c r="G24" s="307"/>
      <c r="H24" s="307"/>
      <c r="I24" s="307"/>
      <c r="J24" s="307"/>
      <c r="K24" s="307"/>
      <c r="L24" s="307"/>
      <c r="M24" s="307"/>
      <c r="N24" s="307"/>
      <c r="O24" s="307"/>
      <c r="Q24" s="230"/>
      <c r="R24" s="231"/>
      <c r="S24" s="231"/>
      <c r="T24" s="231"/>
      <c r="U24" s="231"/>
      <c r="V24" s="231"/>
      <c r="W24" s="231"/>
      <c r="X24" s="267"/>
      <c r="Z24" s="213"/>
      <c r="AA24" s="213"/>
      <c r="AB24" s="213"/>
      <c r="AC24" s="213"/>
      <c r="AD24" s="213"/>
      <c r="AE24" s="213"/>
      <c r="AF24" s="213"/>
      <c r="AG24" s="213"/>
      <c r="AH24" s="213"/>
      <c r="AI24" s="263"/>
      <c r="AJ24" s="50"/>
      <c r="AN24" s="7" t="s">
        <v>144</v>
      </c>
      <c r="AT24" s="7" t="e">
        <f>VLOOKUP($G$19,Produkty!$B$3:$X$50,22,0)</f>
        <v>#N/A</v>
      </c>
    </row>
    <row r="25" spans="2:47" ht="15" customHeight="1" x14ac:dyDescent="0.25">
      <c r="B25" s="249" t="str">
        <f>Překlady!C63</f>
        <v>Koncovka:</v>
      </c>
      <c r="C25" s="250"/>
      <c r="D25" s="250"/>
      <c r="E25" s="250"/>
      <c r="G25" s="203"/>
      <c r="H25" s="203"/>
      <c r="I25" s="203"/>
      <c r="J25" s="203"/>
      <c r="K25" s="203"/>
      <c r="L25" s="203"/>
      <c r="M25" s="203"/>
      <c r="N25" s="203"/>
      <c r="O25" s="203"/>
      <c r="Q25" s="230"/>
      <c r="R25" s="231"/>
      <c r="S25" s="231"/>
      <c r="T25" s="231"/>
      <c r="U25" s="231"/>
      <c r="V25" s="231"/>
      <c r="W25" s="231"/>
      <c r="X25" s="267"/>
      <c r="Z25" s="213"/>
      <c r="AA25" s="213"/>
      <c r="AB25" s="213"/>
      <c r="AC25" s="213"/>
      <c r="AD25" s="213"/>
      <c r="AE25" s="213"/>
      <c r="AF25" s="213"/>
      <c r="AG25" s="213"/>
      <c r="AH25" s="213"/>
      <c r="AI25" s="263"/>
      <c r="AJ25" s="50"/>
      <c r="AN25" s="7" t="e">
        <f>VLOOKUP(AQ22,Produkty!C3:O50,13,0)</f>
        <v>#N/A</v>
      </c>
      <c r="AP25" s="17" t="s">
        <v>146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8"/>
      <c r="C26" s="159"/>
      <c r="D26" s="159"/>
      <c r="E26" s="153"/>
      <c r="G26" s="50"/>
      <c r="I26" s="50"/>
      <c r="K26" s="50"/>
      <c r="L26" s="50"/>
      <c r="M26" s="50"/>
      <c r="Q26" s="233"/>
      <c r="R26" s="234"/>
      <c r="S26" s="234"/>
      <c r="T26" s="234"/>
      <c r="U26" s="234"/>
      <c r="V26" s="234"/>
      <c r="W26" s="234"/>
      <c r="X26" s="268"/>
      <c r="Z26" s="213"/>
      <c r="AA26" s="213"/>
      <c r="AB26" s="213"/>
      <c r="AC26" s="213"/>
      <c r="AD26" s="213"/>
      <c r="AE26" s="213"/>
      <c r="AF26" s="213"/>
      <c r="AG26" s="213"/>
      <c r="AH26" s="213"/>
      <c r="AI26" s="263"/>
      <c r="AJ26" s="50"/>
    </row>
    <row r="27" spans="2:47" ht="15" customHeight="1" thickBot="1" x14ac:dyDescent="0.3">
      <c r="B27" s="249" t="str">
        <f>Překlady!C64</f>
        <v>Množství koncovek (páry):</v>
      </c>
      <c r="C27" s="250"/>
      <c r="D27" s="250"/>
      <c r="E27" s="250"/>
      <c r="G27" s="203"/>
      <c r="H27" s="203"/>
      <c r="I27" s="203"/>
      <c r="J27" s="203"/>
      <c r="K27" s="203"/>
      <c r="L27" s="203"/>
      <c r="M27" s="203"/>
      <c r="N27" s="203"/>
      <c r="O27" s="203"/>
      <c r="AA27" s="74"/>
      <c r="AB27" s="74"/>
      <c r="AC27" s="74"/>
      <c r="AD27" s="74"/>
      <c r="AE27" s="74"/>
      <c r="AF27" s="74"/>
      <c r="AG27" s="74"/>
      <c r="AI27" s="97"/>
      <c r="AN27" s="7" t="s">
        <v>147</v>
      </c>
      <c r="AO27" s="7" t="str">
        <f>IFERROR((VLOOKUP(VLOOKUP(AQ22,Produkty!C3:Q50,15,0),Produkty!A81:B99,2,0)),"")</f>
        <v/>
      </c>
      <c r="AP27" s="17" t="s">
        <v>148</v>
      </c>
      <c r="AQ27" s="7" t="e">
        <f>VLOOKUP(G25,Produkty!B80:C99,2,0)</f>
        <v>#N/A</v>
      </c>
      <c r="AS27" s="17" t="s">
        <v>149</v>
      </c>
      <c r="AT27" s="7" t="e">
        <f>VLOOKUP(G31,Produkty!B55:R78,14,0)</f>
        <v>#N/A</v>
      </c>
    </row>
    <row r="28" spans="2:47" ht="15" customHeight="1" x14ac:dyDescent="0.25">
      <c r="B28" s="104"/>
      <c r="Q28" s="219" t="str">
        <f>Překlady!C44</f>
        <v>rohová</v>
      </c>
      <c r="R28" s="220"/>
      <c r="S28" s="220"/>
      <c r="T28" s="220"/>
      <c r="U28" s="220"/>
      <c r="V28" s="220"/>
      <c r="W28" s="220"/>
      <c r="X28" s="221"/>
      <c r="Z28" s="259" t="str">
        <f>Překlady!C43</f>
        <v>k zafrézování</v>
      </c>
      <c r="AA28" s="259"/>
      <c r="AB28" s="259"/>
      <c r="AC28" s="259"/>
      <c r="AD28" s="259"/>
      <c r="AE28" s="259"/>
      <c r="AF28" s="259"/>
      <c r="AG28" s="259"/>
      <c r="AH28" s="259"/>
      <c r="AI28" s="260"/>
      <c r="AJ28" s="150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7.6" customHeight="1" x14ac:dyDescent="0.25">
      <c r="B29" s="104"/>
      <c r="G29" s="258" t="str">
        <f>IF(ISNUMBER(G27)=TRUE,Překlady!C99,"")</f>
        <v/>
      </c>
      <c r="H29" s="258"/>
      <c r="I29" s="258"/>
      <c r="J29" s="258"/>
      <c r="K29" s="258"/>
      <c r="L29" s="258"/>
      <c r="M29" s="258"/>
      <c r="N29" s="258"/>
      <c r="O29" s="258"/>
      <c r="Q29" s="222" t="s">
        <v>150</v>
      </c>
      <c r="R29" s="223"/>
      <c r="S29" s="223"/>
      <c r="T29" s="224"/>
      <c r="U29" s="225" t="s">
        <v>151</v>
      </c>
      <c r="V29" s="223"/>
      <c r="W29" s="223"/>
      <c r="X29" s="226"/>
      <c r="Z29" s="261" t="s">
        <v>152</v>
      </c>
      <c r="AA29" s="261"/>
      <c r="AB29" s="261"/>
      <c r="AC29" s="261"/>
      <c r="AD29" s="261"/>
      <c r="AE29" s="261"/>
      <c r="AF29" s="261"/>
      <c r="AG29" s="261"/>
      <c r="AH29" s="261"/>
      <c r="AI29" s="262"/>
      <c r="AJ29" s="102"/>
      <c r="AP29" s="270" t="s">
        <v>153</v>
      </c>
      <c r="AQ29" s="160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61"/>
      <c r="D30" s="162"/>
      <c r="G30" s="231"/>
      <c r="H30" s="231"/>
      <c r="I30" s="231"/>
      <c r="J30" s="231"/>
      <c r="K30" s="231"/>
      <c r="L30" s="231"/>
      <c r="M30" s="231"/>
      <c r="N30" s="231"/>
      <c r="O30" s="231"/>
      <c r="Q30" s="305"/>
      <c r="R30" s="237"/>
      <c r="S30" s="237"/>
      <c r="T30" s="308"/>
      <c r="U30" s="314"/>
      <c r="V30" s="228"/>
      <c r="W30" s="228"/>
      <c r="X30" s="315"/>
      <c r="Z30" s="213"/>
      <c r="AA30" s="213"/>
      <c r="AB30" s="213"/>
      <c r="AC30" s="213"/>
      <c r="AD30" s="213"/>
      <c r="AE30" s="213"/>
      <c r="AF30" s="213"/>
      <c r="AG30" s="213"/>
      <c r="AH30" s="213"/>
      <c r="AI30" s="263"/>
      <c r="AJ30" s="50"/>
      <c r="AP30" s="270"/>
      <c r="AQ30" s="160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249" t="str">
        <f>Překlady!C55</f>
        <v>Krycí lišta:</v>
      </c>
      <c r="C31" s="250"/>
      <c r="D31" s="250"/>
      <c r="E31" s="250"/>
      <c r="G31" s="269"/>
      <c r="H31" s="269"/>
      <c r="I31" s="269"/>
      <c r="J31" s="269"/>
      <c r="K31" s="269"/>
      <c r="L31" s="269"/>
      <c r="M31" s="269"/>
      <c r="N31" s="269"/>
      <c r="O31" s="269"/>
      <c r="Q31" s="309"/>
      <c r="R31" s="240"/>
      <c r="S31" s="240"/>
      <c r="T31" s="310"/>
      <c r="U31" s="316"/>
      <c r="V31" s="231"/>
      <c r="W31" s="231"/>
      <c r="X31" s="267"/>
      <c r="Z31" s="213"/>
      <c r="AA31" s="213"/>
      <c r="AB31" s="213"/>
      <c r="AC31" s="213"/>
      <c r="AD31" s="213"/>
      <c r="AE31" s="213"/>
      <c r="AF31" s="213"/>
      <c r="AG31" s="213"/>
      <c r="AH31" s="213"/>
      <c r="AI31" s="263"/>
      <c r="AJ31" s="50"/>
    </row>
    <row r="32" spans="2:47" ht="15" customHeight="1" x14ac:dyDescent="0.25">
      <c r="B32" s="104"/>
      <c r="G32" s="269"/>
      <c r="H32" s="269"/>
      <c r="I32" s="269"/>
      <c r="J32" s="269"/>
      <c r="K32" s="269"/>
      <c r="L32" s="269"/>
      <c r="M32" s="269"/>
      <c r="N32" s="269"/>
      <c r="O32" s="269"/>
      <c r="Q32" s="309"/>
      <c r="R32" s="240"/>
      <c r="S32" s="240"/>
      <c r="T32" s="310"/>
      <c r="U32" s="316"/>
      <c r="V32" s="231"/>
      <c r="W32" s="231"/>
      <c r="X32" s="267"/>
      <c r="Z32" s="213"/>
      <c r="AA32" s="213"/>
      <c r="AB32" s="213"/>
      <c r="AC32" s="213"/>
      <c r="AD32" s="213"/>
      <c r="AE32" s="213"/>
      <c r="AF32" s="213"/>
      <c r="AG32" s="213"/>
      <c r="AH32" s="213"/>
      <c r="AI32" s="263"/>
      <c r="AJ32" s="50"/>
    </row>
    <row r="33" spans="2:40" ht="15" customHeight="1" x14ac:dyDescent="0.25">
      <c r="B33" s="104"/>
      <c r="Q33" s="309"/>
      <c r="R33" s="240"/>
      <c r="S33" s="240"/>
      <c r="T33" s="310"/>
      <c r="U33" s="316"/>
      <c r="V33" s="231"/>
      <c r="W33" s="231"/>
      <c r="X33" s="267"/>
      <c r="Z33" s="213"/>
      <c r="AA33" s="213"/>
      <c r="AB33" s="213"/>
      <c r="AC33" s="213"/>
      <c r="AD33" s="213"/>
      <c r="AE33" s="213"/>
      <c r="AF33" s="213"/>
      <c r="AG33" s="213"/>
      <c r="AH33" s="213"/>
      <c r="AI33" s="263"/>
      <c r="AJ33" s="50"/>
    </row>
    <row r="34" spans="2:40" ht="15" customHeight="1" x14ac:dyDescent="0.25">
      <c r="B34" s="249" t="str">
        <f>Překlady!C81</f>
        <v>Délka (mm):</v>
      </c>
      <c r="C34" s="250"/>
      <c r="D34" s="250"/>
      <c r="E34" s="250"/>
      <c r="G34" s="203"/>
      <c r="H34" s="203"/>
      <c r="I34" s="203"/>
      <c r="J34" s="203"/>
      <c r="K34" s="203"/>
      <c r="L34" s="203"/>
      <c r="M34" s="203"/>
      <c r="N34" s="203"/>
      <c r="O34" s="203"/>
      <c r="Q34" s="309"/>
      <c r="R34" s="240"/>
      <c r="S34" s="240"/>
      <c r="T34" s="310"/>
      <c r="U34" s="316"/>
      <c r="V34" s="231"/>
      <c r="W34" s="231"/>
      <c r="X34" s="267"/>
      <c r="Z34" s="213"/>
      <c r="AA34" s="213"/>
      <c r="AB34" s="213"/>
      <c r="AC34" s="213"/>
      <c r="AD34" s="213"/>
      <c r="AE34" s="213"/>
      <c r="AF34" s="213"/>
      <c r="AG34" s="213"/>
      <c r="AH34" s="213"/>
      <c r="AI34" s="263"/>
      <c r="AJ34" s="50"/>
    </row>
    <row r="35" spans="2:40" ht="15" customHeight="1" x14ac:dyDescent="0.25">
      <c r="B35" s="158"/>
      <c r="C35" s="159"/>
      <c r="D35" s="159"/>
      <c r="F35" s="50"/>
      <c r="G35" s="50"/>
      <c r="H35" s="50"/>
      <c r="Q35" s="309"/>
      <c r="R35" s="240"/>
      <c r="S35" s="240"/>
      <c r="T35" s="310"/>
      <c r="U35" s="316"/>
      <c r="V35" s="231"/>
      <c r="W35" s="231"/>
      <c r="X35" s="267"/>
      <c r="Z35" s="213"/>
      <c r="AA35" s="213"/>
      <c r="AB35" s="213"/>
      <c r="AC35" s="213"/>
      <c r="AD35" s="213"/>
      <c r="AE35" s="213"/>
      <c r="AF35" s="213"/>
      <c r="AG35" s="213"/>
      <c r="AH35" s="213"/>
      <c r="AI35" s="263"/>
      <c r="AJ35" s="50"/>
    </row>
    <row r="36" spans="2:40" ht="15" customHeight="1" x14ac:dyDescent="0.25">
      <c r="B36" s="248" t="str">
        <f>Překlady!C82</f>
        <v>Množství (ks):</v>
      </c>
      <c r="C36" s="201"/>
      <c r="D36" s="201"/>
      <c r="E36" s="201"/>
      <c r="G36" s="203"/>
      <c r="H36" s="203"/>
      <c r="I36" s="203"/>
      <c r="J36" s="203"/>
      <c r="K36" s="203"/>
      <c r="L36" s="203"/>
      <c r="M36" s="203"/>
      <c r="N36" s="203"/>
      <c r="O36" s="203"/>
      <c r="Q36" s="311"/>
      <c r="R36" s="312"/>
      <c r="S36" s="312"/>
      <c r="T36" s="313"/>
      <c r="U36" s="317"/>
      <c r="V36" s="318"/>
      <c r="W36" s="318"/>
      <c r="X36" s="319"/>
      <c r="Z36" s="213"/>
      <c r="AA36" s="213"/>
      <c r="AB36" s="213"/>
      <c r="AC36" s="213"/>
      <c r="AD36" s="213"/>
      <c r="AE36" s="213"/>
      <c r="AF36" s="213"/>
      <c r="AG36" s="213"/>
      <c r="AH36" s="213"/>
      <c r="AI36" s="263"/>
      <c r="AJ36" s="50"/>
      <c r="AK36" s="140" t="s">
        <v>42</v>
      </c>
      <c r="AL36" s="7" t="str">
        <f>Překlady!$C$13</f>
        <v>rovný</v>
      </c>
      <c r="AM36" s="7">
        <v>1</v>
      </c>
    </row>
    <row r="37" spans="2:40" ht="15" customHeight="1" x14ac:dyDescent="0.25">
      <c r="B37" s="104"/>
      <c r="Q37" s="227"/>
      <c r="R37" s="228"/>
      <c r="S37" s="228"/>
      <c r="T37" s="228"/>
      <c r="U37" s="228"/>
      <c r="V37" s="228"/>
      <c r="W37" s="228"/>
      <c r="X37" s="315"/>
      <c r="Z37" s="261"/>
      <c r="AA37" s="261"/>
      <c r="AB37" s="261"/>
      <c r="AC37" s="261"/>
      <c r="AD37" s="261"/>
      <c r="AE37" s="261"/>
      <c r="AF37" s="261"/>
      <c r="AG37" s="261"/>
      <c r="AH37" s="261"/>
      <c r="AI37" s="262"/>
      <c r="AJ37" s="102"/>
      <c r="AL37" s="7" t="str">
        <f>Překlady!$C$14</f>
        <v>rohový</v>
      </c>
      <c r="AM37" s="7">
        <v>2</v>
      </c>
    </row>
    <row r="38" spans="2:40" ht="15" customHeight="1" x14ac:dyDescent="0.25">
      <c r="B38" s="248" t="str">
        <f>Překlady!C109</f>
        <v>Montáž profilu:</v>
      </c>
      <c r="C38" s="201"/>
      <c r="D38" s="201"/>
      <c r="E38" s="201" t="str">
        <f>Překlady!C109</f>
        <v>Montáž profilu:</v>
      </c>
      <c r="G38" s="203"/>
      <c r="H38" s="203"/>
      <c r="I38" s="203"/>
      <c r="J38" s="203"/>
      <c r="K38" s="203"/>
      <c r="L38" s="203"/>
      <c r="M38" s="203"/>
      <c r="N38" s="203"/>
      <c r="O38" s="203"/>
      <c r="Q38" s="230"/>
      <c r="R38" s="231"/>
      <c r="S38" s="231"/>
      <c r="T38" s="231"/>
      <c r="U38" s="231"/>
      <c r="V38" s="231"/>
      <c r="W38" s="231"/>
      <c r="X38" s="267"/>
      <c r="Z38" s="261"/>
      <c r="AA38" s="261"/>
      <c r="AB38" s="261"/>
      <c r="AC38" s="261"/>
      <c r="AD38" s="261"/>
      <c r="AE38" s="261"/>
      <c r="AF38" s="261"/>
      <c r="AG38" s="261"/>
      <c r="AH38" s="261"/>
      <c r="AI38" s="262"/>
      <c r="AJ38" s="102"/>
      <c r="AK38" s="140" t="s">
        <v>778</v>
      </c>
      <c r="AL38" s="7" t="str">
        <f>Překlady!$C$15</f>
        <v>ano</v>
      </c>
      <c r="AM38" s="7">
        <v>3</v>
      </c>
    </row>
    <row r="39" spans="2:40" ht="15" customHeight="1" x14ac:dyDescent="0.25">
      <c r="B39" s="104"/>
      <c r="Q39" s="230"/>
      <c r="R39" s="231"/>
      <c r="S39" s="231"/>
      <c r="T39" s="231"/>
      <c r="U39" s="231"/>
      <c r="V39" s="231"/>
      <c r="W39" s="231"/>
      <c r="X39" s="267"/>
      <c r="Z39" s="261"/>
      <c r="AA39" s="261"/>
      <c r="AB39" s="261"/>
      <c r="AC39" s="261"/>
      <c r="AD39" s="261"/>
      <c r="AE39" s="261"/>
      <c r="AF39" s="261"/>
      <c r="AG39" s="261"/>
      <c r="AH39" s="261"/>
      <c r="AI39" s="262"/>
      <c r="AJ39" s="102"/>
      <c r="AL39" s="7" t="str">
        <f>Překlady!$C$16</f>
        <v>ne</v>
      </c>
      <c r="AM39" s="7">
        <v>4</v>
      </c>
    </row>
    <row r="40" spans="2:40" ht="15" customHeight="1" x14ac:dyDescent="0.25">
      <c r="B40" s="163"/>
      <c r="C40" s="164"/>
      <c r="D40" s="164"/>
      <c r="E40" s="164"/>
      <c r="Q40" s="230"/>
      <c r="R40" s="231"/>
      <c r="S40" s="231"/>
      <c r="T40" s="231"/>
      <c r="U40" s="231"/>
      <c r="V40" s="231"/>
      <c r="W40" s="231"/>
      <c r="X40" s="267"/>
      <c r="Z40" s="261"/>
      <c r="AA40" s="261"/>
      <c r="AB40" s="261"/>
      <c r="AC40" s="261"/>
      <c r="AD40" s="261"/>
      <c r="AE40" s="261"/>
      <c r="AF40" s="261"/>
      <c r="AG40" s="261"/>
      <c r="AH40" s="261"/>
      <c r="AI40" s="262"/>
      <c r="AJ40" s="102"/>
    </row>
    <row r="41" spans="2:40" ht="15" customHeight="1" x14ac:dyDescent="0.25">
      <c r="B41" s="104"/>
      <c r="Q41" s="230"/>
      <c r="R41" s="231"/>
      <c r="S41" s="231"/>
      <c r="T41" s="231"/>
      <c r="U41" s="231"/>
      <c r="V41" s="231"/>
      <c r="W41" s="231"/>
      <c r="X41" s="267"/>
      <c r="Z41" s="261"/>
      <c r="AA41" s="261"/>
      <c r="AB41" s="261"/>
      <c r="AC41" s="261"/>
      <c r="AD41" s="261"/>
      <c r="AE41" s="261"/>
      <c r="AF41" s="261"/>
      <c r="AG41" s="261"/>
      <c r="AH41" s="261"/>
      <c r="AI41" s="262"/>
      <c r="AJ41" s="102"/>
    </row>
    <row r="42" spans="2:40" ht="15" customHeight="1" x14ac:dyDescent="0.25">
      <c r="B42" s="104"/>
      <c r="Q42" s="230"/>
      <c r="R42" s="231"/>
      <c r="S42" s="231"/>
      <c r="T42" s="231"/>
      <c r="U42" s="231"/>
      <c r="V42" s="231"/>
      <c r="W42" s="231"/>
      <c r="X42" s="267"/>
      <c r="Z42" s="261"/>
      <c r="AA42" s="261"/>
      <c r="AB42" s="261"/>
      <c r="AC42" s="261"/>
      <c r="AD42" s="261"/>
      <c r="AE42" s="261"/>
      <c r="AF42" s="261"/>
      <c r="AG42" s="261"/>
      <c r="AH42" s="261"/>
      <c r="AI42" s="262"/>
      <c r="AJ42" s="102"/>
      <c r="AN42" s="17"/>
    </row>
    <row r="43" spans="2:40" ht="15" customHeight="1" x14ac:dyDescent="0.25">
      <c r="B43" s="104"/>
      <c r="Q43" s="230"/>
      <c r="R43" s="231"/>
      <c r="S43" s="231"/>
      <c r="T43" s="231"/>
      <c r="U43" s="231"/>
      <c r="V43" s="231"/>
      <c r="W43" s="231"/>
      <c r="X43" s="267"/>
      <c r="Z43" s="261"/>
      <c r="AA43" s="261"/>
      <c r="AB43" s="261"/>
      <c r="AC43" s="261"/>
      <c r="AD43" s="261"/>
      <c r="AE43" s="261"/>
      <c r="AF43" s="261"/>
      <c r="AG43" s="261"/>
      <c r="AH43" s="261"/>
      <c r="AI43" s="262"/>
      <c r="AJ43" s="102"/>
      <c r="AN43" s="17"/>
    </row>
    <row r="44" spans="2:40" ht="15" customHeight="1" thickBot="1" x14ac:dyDescent="0.3">
      <c r="B44" s="104"/>
      <c r="Q44" s="233"/>
      <c r="R44" s="234"/>
      <c r="S44" s="234"/>
      <c r="T44" s="234"/>
      <c r="U44" s="234"/>
      <c r="V44" s="234"/>
      <c r="W44" s="234"/>
      <c r="X44" s="268"/>
      <c r="Z44" s="261"/>
      <c r="AA44" s="261"/>
      <c r="AB44" s="261"/>
      <c r="AC44" s="261"/>
      <c r="AD44" s="261"/>
      <c r="AE44" s="261"/>
      <c r="AF44" s="261"/>
      <c r="AG44" s="261"/>
      <c r="AH44" s="261"/>
      <c r="AI44" s="262"/>
      <c r="AJ44" s="102"/>
      <c r="AN44" s="17"/>
    </row>
    <row r="45" spans="2:40" ht="15" customHeight="1" x14ac:dyDescent="0.25">
      <c r="B45" s="104"/>
      <c r="Z45" s="261"/>
      <c r="AA45" s="261"/>
      <c r="AB45" s="261"/>
      <c r="AC45" s="261"/>
      <c r="AD45" s="261"/>
      <c r="AE45" s="261"/>
      <c r="AF45" s="261"/>
      <c r="AG45" s="261"/>
      <c r="AH45" s="261"/>
      <c r="AI45" s="262"/>
      <c r="AJ45" s="102"/>
      <c r="AL45" s="17"/>
    </row>
    <row r="46" spans="2:40" ht="15" customHeight="1" x14ac:dyDescent="0.25">
      <c r="B46" s="104"/>
      <c r="Z46" s="261"/>
      <c r="AA46" s="261"/>
      <c r="AB46" s="261"/>
      <c r="AC46" s="261"/>
      <c r="AD46" s="261"/>
      <c r="AE46" s="261"/>
      <c r="AF46" s="261"/>
      <c r="AG46" s="261"/>
      <c r="AH46" s="261"/>
      <c r="AI46" s="262"/>
      <c r="AJ46" s="102"/>
      <c r="AK46" s="141"/>
      <c r="AL46" s="18"/>
    </row>
    <row r="47" spans="2:40" ht="15" customHeight="1" x14ac:dyDescent="0.25">
      <c r="B47" s="104"/>
      <c r="Z47" s="261"/>
      <c r="AA47" s="261"/>
      <c r="AB47" s="261"/>
      <c r="AC47" s="261"/>
      <c r="AD47" s="261"/>
      <c r="AE47" s="261"/>
      <c r="AF47" s="261"/>
      <c r="AG47" s="261"/>
      <c r="AH47" s="261"/>
      <c r="AI47" s="262"/>
      <c r="AJ47" s="102"/>
      <c r="AK47" s="141"/>
      <c r="AL47" s="18"/>
    </row>
    <row r="48" spans="2:40" ht="15" customHeight="1" x14ac:dyDescent="0.25">
      <c r="B48" s="104"/>
      <c r="Z48" s="261"/>
      <c r="AA48" s="261"/>
      <c r="AB48" s="261"/>
      <c r="AC48" s="261"/>
      <c r="AD48" s="261"/>
      <c r="AE48" s="261"/>
      <c r="AF48" s="261"/>
      <c r="AG48" s="261"/>
      <c r="AH48" s="261"/>
      <c r="AI48" s="262"/>
      <c r="AJ48" s="102"/>
      <c r="AL48" s="17"/>
    </row>
    <row r="49" spans="2:84" ht="15" customHeight="1" x14ac:dyDescent="0.25">
      <c r="B49" s="104"/>
      <c r="Z49" s="261"/>
      <c r="AA49" s="261"/>
      <c r="AB49" s="261"/>
      <c r="AC49" s="261"/>
      <c r="AD49" s="261"/>
      <c r="AE49" s="261"/>
      <c r="AF49" s="261"/>
      <c r="AG49" s="261"/>
      <c r="AH49" s="261"/>
      <c r="AI49" s="262"/>
      <c r="AJ49" s="102"/>
      <c r="AL49" s="17"/>
    </row>
    <row r="50" spans="2:84" ht="15" customHeight="1" x14ac:dyDescent="0.25">
      <c r="B50" s="104"/>
      <c r="Z50" s="261"/>
      <c r="AA50" s="261"/>
      <c r="AB50" s="261"/>
      <c r="AC50" s="261"/>
      <c r="AD50" s="261"/>
      <c r="AE50" s="261"/>
      <c r="AF50" s="261"/>
      <c r="AG50" s="261"/>
      <c r="AH50" s="261"/>
      <c r="AI50" s="262"/>
      <c r="AJ50" s="102"/>
      <c r="AL50" s="17"/>
    </row>
    <row r="51" spans="2:84" ht="15" customHeight="1" x14ac:dyDescent="0.25">
      <c r="B51" s="104"/>
      <c r="N51" s="50"/>
      <c r="Z51" s="261"/>
      <c r="AA51" s="261"/>
      <c r="AB51" s="261"/>
      <c r="AC51" s="261"/>
      <c r="AD51" s="261"/>
      <c r="AE51" s="261"/>
      <c r="AF51" s="261"/>
      <c r="AG51" s="261"/>
      <c r="AH51" s="261"/>
      <c r="AI51" s="262"/>
      <c r="AJ51" s="102"/>
      <c r="AL51" s="17"/>
    </row>
    <row r="52" spans="2:84" ht="15" customHeight="1" x14ac:dyDescent="0.25">
      <c r="B52" s="104"/>
      <c r="N52" s="50"/>
      <c r="Z52" s="261"/>
      <c r="AA52" s="261"/>
      <c r="AB52" s="261"/>
      <c r="AC52" s="261"/>
      <c r="AD52" s="261"/>
      <c r="AE52" s="261"/>
      <c r="AF52" s="261"/>
      <c r="AG52" s="261"/>
      <c r="AH52" s="261"/>
      <c r="AI52" s="262"/>
      <c r="AJ52" s="102"/>
      <c r="AL52" s="17"/>
    </row>
    <row r="53" spans="2:84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6"/>
      <c r="M53" s="156"/>
      <c r="N53" s="156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272"/>
      <c r="AA53" s="272"/>
      <c r="AB53" s="272"/>
      <c r="AC53" s="272"/>
      <c r="AD53" s="272"/>
      <c r="AE53" s="272"/>
      <c r="AF53" s="272"/>
      <c r="AG53" s="272"/>
      <c r="AH53" s="272"/>
      <c r="AI53" s="273"/>
      <c r="AJ53" s="102"/>
      <c r="AL53" s="17"/>
    </row>
    <row r="54" spans="2:84" ht="7.5" customHeight="1" x14ac:dyDescent="0.25">
      <c r="AL54" s="17"/>
    </row>
    <row r="55" spans="2:84" ht="7.5" customHeight="1" thickBot="1" x14ac:dyDescent="0.3">
      <c r="B55" s="165"/>
      <c r="C55" s="165"/>
      <c r="D55" s="165"/>
      <c r="E55" s="165"/>
      <c r="H55" s="165"/>
      <c r="I55" s="165"/>
      <c r="J55" s="165"/>
      <c r="K55" s="165"/>
      <c r="N55" s="165"/>
      <c r="O55" s="165"/>
      <c r="P55" s="165"/>
      <c r="Q55" s="165"/>
      <c r="R55" s="50"/>
      <c r="T55" s="165"/>
      <c r="U55" s="165"/>
      <c r="V55" s="165"/>
      <c r="W55" s="165"/>
    </row>
    <row r="56" spans="2:84" ht="15" customHeight="1" x14ac:dyDescent="0.25">
      <c r="B56" s="166"/>
      <c r="C56" s="167"/>
      <c r="D56" s="167"/>
      <c r="E56" s="167"/>
      <c r="F56" s="93"/>
      <c r="G56" s="93"/>
      <c r="H56" s="167"/>
      <c r="I56" s="167"/>
      <c r="J56" s="167"/>
      <c r="K56" s="167"/>
      <c r="L56" s="93"/>
      <c r="M56" s="93"/>
      <c r="N56" s="167"/>
      <c r="O56" s="167"/>
      <c r="P56" s="167"/>
      <c r="Q56" s="167"/>
      <c r="R56" s="157"/>
      <c r="S56" s="93"/>
      <c r="T56" s="167"/>
      <c r="U56" s="167"/>
      <c r="V56" s="167"/>
      <c r="W56" s="167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84" ht="17.25" customHeight="1" x14ac:dyDescent="0.25">
      <c r="B57" s="283" t="str">
        <f>Překlady!C53</f>
        <v>Definujte tvar sestavy:</v>
      </c>
      <c r="C57" s="284"/>
      <c r="D57" s="284"/>
      <c r="E57" s="284"/>
      <c r="F57" s="153"/>
      <c r="G57" s="153"/>
      <c r="H57" s="153"/>
      <c r="I57" s="153"/>
      <c r="J57" s="50"/>
      <c r="K57" s="50"/>
      <c r="N57" s="50"/>
      <c r="O57" s="50"/>
      <c r="P57" s="50"/>
      <c r="Q57" s="50"/>
      <c r="R57" s="50"/>
      <c r="S57" s="212" t="str">
        <f>IF(AL63=TRUE,Překlady!C12,"")</f>
        <v/>
      </c>
      <c r="T57" s="212"/>
      <c r="U57" s="212"/>
      <c r="V57" s="50"/>
      <c r="W57" s="50"/>
      <c r="X57" s="50"/>
      <c r="Y57" s="271"/>
      <c r="AI57" s="97"/>
      <c r="BJ57" s="17" t="s">
        <v>5799</v>
      </c>
      <c r="BK57" s="7" t="str">
        <f>IF(OR(G21=I72,G21=I73,G21=O72,G21=O73),"ano","ne")</f>
        <v>ano</v>
      </c>
      <c r="BU57" s="169" t="s">
        <v>5816</v>
      </c>
      <c r="BV57" s="169"/>
    </row>
    <row r="58" spans="2:84" ht="18" customHeight="1" x14ac:dyDescent="0.25">
      <c r="B58" s="283"/>
      <c r="C58" s="284"/>
      <c r="D58" s="284"/>
      <c r="E58" s="284"/>
      <c r="F58" s="153"/>
      <c r="G58" s="153"/>
      <c r="H58" s="153"/>
      <c r="I58" s="153"/>
      <c r="J58" s="50"/>
      <c r="K58" s="50"/>
      <c r="N58" s="50"/>
      <c r="O58" s="50"/>
      <c r="P58" s="50"/>
      <c r="Q58" s="50"/>
      <c r="R58" s="50"/>
      <c r="V58" s="50"/>
      <c r="Y58" s="271"/>
      <c r="AI58" s="97"/>
      <c r="BS58" s="251" t="s">
        <v>201</v>
      </c>
      <c r="BT58" s="251" t="s">
        <v>202</v>
      </c>
      <c r="BU58" s="251" t="s">
        <v>204</v>
      </c>
      <c r="BV58" s="252" t="s">
        <v>1357</v>
      </c>
      <c r="BW58" s="252" t="s">
        <v>1351</v>
      </c>
      <c r="BX58" s="252" t="s">
        <v>2405</v>
      </c>
      <c r="BY58" s="252" t="s">
        <v>197</v>
      </c>
      <c r="BZ58" s="252" t="s">
        <v>3108</v>
      </c>
      <c r="CA58" s="252" t="s">
        <v>1273</v>
      </c>
    </row>
    <row r="59" spans="2:84" ht="7.5" customHeight="1" x14ac:dyDescent="0.25">
      <c r="B59" s="283"/>
      <c r="C59" s="284"/>
      <c r="D59" s="284"/>
      <c r="E59" s="284"/>
      <c r="AI59" s="97"/>
      <c r="BS59" s="251"/>
      <c r="BT59" s="251"/>
      <c r="BU59" s="251"/>
      <c r="BV59" s="252"/>
      <c r="BW59" s="252"/>
      <c r="BX59" s="252"/>
      <c r="BY59" s="252"/>
      <c r="BZ59" s="252"/>
      <c r="CA59" s="252"/>
    </row>
    <row r="60" spans="2:84" ht="13.5" customHeight="1" x14ac:dyDescent="0.25">
      <c r="B60" s="104"/>
      <c r="U60" s="170" t="s">
        <v>20</v>
      </c>
      <c r="W60" s="168" t="s">
        <v>20</v>
      </c>
      <c r="Y60" s="170" t="s">
        <v>154</v>
      </c>
      <c r="AI60" s="97"/>
      <c r="AK60" s="171" t="s">
        <v>155</v>
      </c>
      <c r="AL60" s="274" t="s">
        <v>156</v>
      </c>
      <c r="AM60" s="152" t="e">
        <f>VLOOKUP(AM66,BB64:BC72,2,0)</f>
        <v>#N/A</v>
      </c>
      <c r="BS60" s="251"/>
      <c r="BT60" s="251"/>
      <c r="BU60" s="251"/>
      <c r="BV60" s="252"/>
      <c r="BW60" s="252"/>
      <c r="BX60" s="252"/>
      <c r="BY60" s="252"/>
      <c r="BZ60" s="252"/>
      <c r="CA60" s="252"/>
    </row>
    <row r="61" spans="2:84" ht="18" customHeight="1" x14ac:dyDescent="0.25">
      <c r="B61" s="104"/>
      <c r="W61" s="172"/>
      <c r="AI61" s="97"/>
      <c r="AK61" s="171" t="s">
        <v>157</v>
      </c>
      <c r="AL61" s="213"/>
      <c r="AM61" s="152" t="e">
        <f>VLOOKUP(AM66,BB64:BD72,3,0)</f>
        <v>#N/A</v>
      </c>
      <c r="BJ61" s="7" t="str">
        <f>CONCATENATE(G63,"_",G65,"_",G67,"_",P65)</f>
        <v>___</v>
      </c>
      <c r="BK61" s="50" t="s">
        <v>5796</v>
      </c>
      <c r="BL61" s="50" t="s">
        <v>5797</v>
      </c>
      <c r="BM61" s="252" t="s">
        <v>5807</v>
      </c>
      <c r="BN61" s="252" t="s">
        <v>5808</v>
      </c>
      <c r="BO61" s="252" t="s">
        <v>5809</v>
      </c>
      <c r="BP61" s="252" t="s">
        <v>5810</v>
      </c>
      <c r="BQ61" s="252" t="s">
        <v>5811</v>
      </c>
      <c r="BR61" s="258" t="s">
        <v>5812</v>
      </c>
      <c r="BS61" s="251"/>
      <c r="BT61" s="251"/>
      <c r="BU61" s="251"/>
      <c r="BV61" s="252"/>
      <c r="BW61" s="252"/>
      <c r="BX61" s="252"/>
      <c r="BY61" s="252"/>
      <c r="BZ61" s="252"/>
      <c r="CA61" s="252"/>
    </row>
    <row r="62" spans="2:84" ht="10.5" customHeight="1" x14ac:dyDescent="0.25">
      <c r="B62" s="104"/>
      <c r="S62" s="22"/>
      <c r="W62" s="168"/>
      <c r="AI62" s="97"/>
      <c r="BJ62" s="7" t="s">
        <v>5795</v>
      </c>
      <c r="BK62" s="50">
        <v>391584</v>
      </c>
      <c r="BL62" s="50">
        <v>208204</v>
      </c>
      <c r="BM62" s="252"/>
      <c r="BN62" s="252"/>
      <c r="BO62" s="252"/>
      <c r="BP62" s="252"/>
      <c r="BQ62" s="252"/>
      <c r="BR62" s="258"/>
      <c r="BS62" s="251"/>
      <c r="BT62" s="251"/>
      <c r="BU62" s="251"/>
      <c r="BV62" s="252"/>
      <c r="BW62" s="252"/>
      <c r="BX62" s="252"/>
      <c r="BY62" s="252"/>
      <c r="BZ62" s="252"/>
      <c r="CA62" s="252"/>
    </row>
    <row r="63" spans="2:84" ht="15.75" x14ac:dyDescent="0.25">
      <c r="B63" s="173"/>
      <c r="C63" s="174"/>
      <c r="D63" s="174"/>
      <c r="E63" s="89" t="str">
        <f>Překlady!C12</f>
        <v>Tvar sestavy:</v>
      </c>
      <c r="G63" s="203"/>
      <c r="H63" s="203"/>
      <c r="I63" s="203"/>
      <c r="J63" s="203"/>
      <c r="K63" s="203"/>
      <c r="AI63" s="97"/>
      <c r="AK63" s="140" t="s">
        <v>158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159</v>
      </c>
      <c r="AW63" s="7">
        <f>IF(AND(G63=Překlady!C14,G65=Překlady!C15),1,0)</f>
        <v>0</v>
      </c>
      <c r="AZ63" s="7" t="s">
        <v>24</v>
      </c>
      <c r="BA63" s="7" t="s">
        <v>25</v>
      </c>
      <c r="BC63" s="152" t="s">
        <v>155</v>
      </c>
      <c r="BD63" s="152" t="s">
        <v>157</v>
      </c>
      <c r="BJ63" s="7" t="str">
        <f>CONCATENATE(Překlady!$C$13,"_",Překlady!$C$16,"_",Překlady!$C$34,"_")</f>
        <v>rovný_ne_vlevo_</v>
      </c>
      <c r="BK63" s="50">
        <f>IF($BK$57="ano",0,1)</f>
        <v>0</v>
      </c>
      <c r="BL63" s="50">
        <v>1</v>
      </c>
      <c r="BM63" s="7" t="s">
        <v>5814</v>
      </c>
      <c r="BN63" s="7">
        <v>543616</v>
      </c>
      <c r="BO63" s="7">
        <v>543616</v>
      </c>
      <c r="BP63" s="7">
        <v>543616</v>
      </c>
      <c r="BQ63" s="7">
        <v>543616</v>
      </c>
      <c r="BR63" s="7">
        <v>543616</v>
      </c>
      <c r="BS63" s="7">
        <v>543616</v>
      </c>
      <c r="BT63" s="7">
        <v>543616</v>
      </c>
      <c r="BU63" s="7">
        <v>543616</v>
      </c>
      <c r="BV63" s="7">
        <v>543616</v>
      </c>
      <c r="BW63" s="7">
        <v>543616</v>
      </c>
      <c r="BX63" s="7">
        <v>543616</v>
      </c>
      <c r="BY63" s="7">
        <v>543616</v>
      </c>
      <c r="BZ63" s="7">
        <v>543616</v>
      </c>
      <c r="CA63" s="7">
        <v>543616</v>
      </c>
      <c r="CF63" s="7" t="s">
        <v>5788</v>
      </c>
    </row>
    <row r="64" spans="2:84" ht="15" x14ac:dyDescent="0.25">
      <c r="B64" s="104"/>
      <c r="AC64" s="271" t="s">
        <v>160</v>
      </c>
      <c r="AF64" s="172"/>
      <c r="AI64" s="97"/>
      <c r="AK64" s="140" t="s">
        <v>161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J64" s="7" t="str">
        <f>CONCATENATE(Překlady!$C$13,"_",Překlady!$C$16,"_",Překlady!$C$35,"_")</f>
        <v>rovný_ne_vpravo_</v>
      </c>
      <c r="BK64" s="50">
        <f>IF($BK$57="ano",0,1)</f>
        <v>0</v>
      </c>
      <c r="BL64" s="50">
        <v>1</v>
      </c>
      <c r="BM64" s="7" t="s">
        <v>5814</v>
      </c>
      <c r="BN64" s="7">
        <v>543616</v>
      </c>
      <c r="BO64" s="7">
        <v>543616</v>
      </c>
      <c r="BP64" s="7">
        <v>543616</v>
      </c>
      <c r="BQ64" s="7">
        <v>543616</v>
      </c>
      <c r="BR64" s="7">
        <v>543616</v>
      </c>
      <c r="BS64" s="7">
        <v>543616</v>
      </c>
      <c r="BT64" s="7">
        <v>543616</v>
      </c>
      <c r="BU64" s="7">
        <v>543616</v>
      </c>
      <c r="BV64" s="7">
        <v>543616</v>
      </c>
      <c r="BW64" s="7">
        <v>543616</v>
      </c>
      <c r="BX64" s="7">
        <v>543616</v>
      </c>
      <c r="BY64" s="7">
        <v>543616</v>
      </c>
      <c r="BZ64" s="7">
        <v>543616</v>
      </c>
      <c r="CA64" s="7">
        <v>543616</v>
      </c>
      <c r="CF64" s="7" t="s">
        <v>5788</v>
      </c>
    </row>
    <row r="65" spans="2:84" ht="15.75" x14ac:dyDescent="0.25">
      <c r="B65" s="173"/>
      <c r="C65" s="174"/>
      <c r="D65" s="174"/>
      <c r="E65" s="89" t="str">
        <f>Překlady!C17</f>
        <v>Bude přerušený led pásek?</v>
      </c>
      <c r="G65" s="203"/>
      <c r="H65" s="203"/>
      <c r="I65" s="203"/>
      <c r="J65" s="203"/>
      <c r="K65" s="203"/>
      <c r="M65" s="303" t="str">
        <f>IF(AW63=1,Překlady!C37,"")</f>
        <v/>
      </c>
      <c r="N65" s="303"/>
      <c r="O65" s="303"/>
      <c r="P65" s="276"/>
      <c r="Q65" s="276"/>
      <c r="R65" s="175"/>
      <c r="AC65" s="271"/>
      <c r="AE65" s="96"/>
      <c r="AF65" s="172"/>
      <c r="AI65" s="97"/>
      <c r="AK65" s="140" t="s">
        <v>5781</v>
      </c>
      <c r="AL65" s="7">
        <f>IF(AND(G63=Překlady!C13,Sestava2!G65=Překlady!C15),1,0)</f>
        <v>0</v>
      </c>
      <c r="BB65" s="7" t="str">
        <f>CONCATENATE(Překlady!C13,"_",Překlady!C16,"_")</f>
        <v>rovný_ne_</v>
      </c>
      <c r="BC65" s="7">
        <v>1</v>
      </c>
      <c r="BJ65" s="7" t="str">
        <f>CONCATENATE(Překlady!$C$13,"_",Překlady!$C$15,"_",Překlady!$C$36,"_")</f>
        <v>rovný_ano_v přerušení_</v>
      </c>
      <c r="BK65" s="50">
        <f>IF($BK$57="ano",1,2)</f>
        <v>1</v>
      </c>
      <c r="BL65" s="50">
        <v>2</v>
      </c>
      <c r="BM65" s="7" t="s">
        <v>5815</v>
      </c>
      <c r="BN65" s="7">
        <v>543616</v>
      </c>
      <c r="BO65" s="7">
        <v>543616</v>
      </c>
      <c r="BP65" s="7">
        <v>543616</v>
      </c>
      <c r="BQ65" s="7">
        <v>543616</v>
      </c>
      <c r="BR65" s="7">
        <v>543616</v>
      </c>
      <c r="BS65" s="7">
        <v>543616</v>
      </c>
      <c r="BT65" s="7">
        <v>543616</v>
      </c>
      <c r="BU65" s="7">
        <v>543616</v>
      </c>
      <c r="BV65" s="7">
        <v>543616</v>
      </c>
      <c r="BW65" s="7">
        <v>543616</v>
      </c>
      <c r="BX65" s="7">
        <v>543616</v>
      </c>
      <c r="BY65" s="7">
        <v>543616</v>
      </c>
      <c r="BZ65" s="7">
        <v>543616</v>
      </c>
      <c r="CA65" s="7">
        <v>543616</v>
      </c>
      <c r="CF65" s="7" t="s">
        <v>5787</v>
      </c>
    </row>
    <row r="66" spans="2:84" ht="15" x14ac:dyDescent="0.25">
      <c r="B66" s="104"/>
      <c r="AB66" s="96"/>
      <c r="AC66" s="96"/>
      <c r="AE66" s="170"/>
      <c r="AF66" s="176"/>
      <c r="AI66" s="97"/>
      <c r="AK66" s="140" t="s">
        <v>24</v>
      </c>
      <c r="AL66" s="162" t="s">
        <v>137</v>
      </c>
      <c r="AM66" s="162" t="str">
        <f>CONCATENATE(G63,"_",G65,"_",P65)</f>
        <v>__</v>
      </c>
      <c r="AN66" s="50" t="str">
        <f>IFERROR((VLOOKUP(AM66,AM67:AN70,2,0)),"X")</f>
        <v>X</v>
      </c>
      <c r="AP66" s="7" t="s">
        <v>162</v>
      </c>
      <c r="AQ66" s="7" t="s">
        <v>137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J66" s="7" t="str">
        <f>CONCATENATE(Překlady!$C$13,"_",Překlady!$C$15,"_",Překlady!$C$35,"_")</f>
        <v>rovný_ano_vpravo_</v>
      </c>
      <c r="BK66" s="50">
        <f>IF($BK$57="ano",1,2)</f>
        <v>1</v>
      </c>
      <c r="BL66" s="50">
        <v>3</v>
      </c>
      <c r="BM66" s="7" t="s">
        <v>5813</v>
      </c>
      <c r="BN66" s="7">
        <v>543616</v>
      </c>
      <c r="BO66" s="7">
        <v>543616</v>
      </c>
      <c r="BP66" s="7">
        <v>543616</v>
      </c>
      <c r="BQ66" s="7">
        <v>543616</v>
      </c>
      <c r="BR66" s="7">
        <v>543616</v>
      </c>
      <c r="BS66" s="7">
        <v>543616</v>
      </c>
      <c r="BT66" s="7">
        <v>543616</v>
      </c>
      <c r="BU66" s="7">
        <v>543616</v>
      </c>
      <c r="BV66" s="7">
        <v>543616</v>
      </c>
      <c r="BW66" s="7">
        <v>543616</v>
      </c>
      <c r="BX66" s="7">
        <v>543616</v>
      </c>
      <c r="BY66" s="7">
        <v>543616</v>
      </c>
      <c r="BZ66" s="7">
        <v>543616</v>
      </c>
      <c r="CA66" s="7">
        <v>543616</v>
      </c>
      <c r="CF66" s="7" t="s">
        <v>5786</v>
      </c>
    </row>
    <row r="67" spans="2:84" ht="15.75" x14ac:dyDescent="0.25">
      <c r="B67" s="173"/>
      <c r="C67" s="174"/>
      <c r="D67" s="174"/>
      <c r="E67" s="89" t="str">
        <f>Překlady!C33</f>
        <v>Umístění napájení:</v>
      </c>
      <c r="G67" s="203"/>
      <c r="H67" s="203"/>
      <c r="I67" s="203"/>
      <c r="J67" s="203"/>
      <c r="K67" s="203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J67" s="7" t="str">
        <f>CONCATENATE(Překlady!$C$13,"_",Překlady!$C$15,"_",Překlady!$C$34,"_")</f>
        <v>rovný_ano_vlevo_</v>
      </c>
      <c r="BK67" s="50">
        <f>IF($BK$57="ano",1,2)</f>
        <v>1</v>
      </c>
      <c r="BL67" s="50">
        <v>3</v>
      </c>
      <c r="BM67" s="7" t="s">
        <v>5813</v>
      </c>
      <c r="BN67" s="7">
        <v>543616</v>
      </c>
      <c r="BO67" s="7">
        <v>543616</v>
      </c>
      <c r="BP67" s="7">
        <v>543616</v>
      </c>
      <c r="BQ67" s="7">
        <v>543616</v>
      </c>
      <c r="BR67" s="7">
        <v>543616</v>
      </c>
      <c r="BS67" s="7">
        <v>543616</v>
      </c>
      <c r="BT67" s="7">
        <v>543616</v>
      </c>
      <c r="BU67" s="7">
        <v>543616</v>
      </c>
      <c r="BV67" s="7">
        <v>543616</v>
      </c>
      <c r="BW67" s="7">
        <v>543616</v>
      </c>
      <c r="BX67" s="7">
        <v>543616</v>
      </c>
      <c r="BY67" s="7">
        <v>543616</v>
      </c>
      <c r="BZ67" s="7">
        <v>543616</v>
      </c>
      <c r="CA67" s="7">
        <v>543616</v>
      </c>
      <c r="CF67" s="7" t="s">
        <v>5786</v>
      </c>
    </row>
    <row r="68" spans="2:84" ht="24.75" customHeight="1" x14ac:dyDescent="0.25">
      <c r="B68" s="104"/>
      <c r="Z68" s="102"/>
      <c r="AA68" s="168"/>
      <c r="AC68" s="168" t="s">
        <v>163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J68" s="7" t="str">
        <f>CONCATENATE(Překlady!$C$14,"_",Překlady!$C$16,"_",Překlady!$C$34,"_")</f>
        <v>rohový_ne_vlevo_</v>
      </c>
      <c r="BK68" s="50">
        <v>2</v>
      </c>
      <c r="BL68" s="50">
        <v>3</v>
      </c>
      <c r="BM68" s="7" t="s">
        <v>5813</v>
      </c>
      <c r="BN68" s="7">
        <v>543616</v>
      </c>
      <c r="BO68" s="7">
        <v>543616</v>
      </c>
      <c r="BP68" s="7">
        <v>543616</v>
      </c>
      <c r="BQ68" s="7">
        <v>543616</v>
      </c>
      <c r="BR68" s="7">
        <v>543616</v>
      </c>
      <c r="BS68" s="7">
        <v>543616</v>
      </c>
      <c r="BT68" s="7">
        <v>543616</v>
      </c>
      <c r="BU68" s="7">
        <v>543616</v>
      </c>
      <c r="BV68" s="7">
        <v>543616</v>
      </c>
      <c r="BW68" s="7">
        <v>543616</v>
      </c>
      <c r="BX68" s="7">
        <v>543616</v>
      </c>
      <c r="BY68" s="7">
        <v>543616</v>
      </c>
      <c r="BZ68" s="7">
        <v>543616</v>
      </c>
      <c r="CA68" s="7">
        <v>543616</v>
      </c>
      <c r="CF68" s="7" t="s">
        <v>5789</v>
      </c>
    </row>
    <row r="69" spans="2:84" ht="15.75" customHeight="1" x14ac:dyDescent="0.25">
      <c r="B69" s="248" t="str">
        <f>Překlady!C46</f>
        <v>Chcete profily krátit na míru?</v>
      </c>
      <c r="C69" s="201"/>
      <c r="D69" s="201"/>
      <c r="E69" s="201"/>
      <c r="F69" s="177"/>
      <c r="G69" s="203"/>
      <c r="H69" s="203"/>
      <c r="I69" s="203"/>
      <c r="J69" s="203"/>
      <c r="K69" s="203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J69" s="7" t="str">
        <f>CONCATENATE(Překlady!$C$14,"_",Překlady!$C$16,"_",Překlady!$C$35,"_")</f>
        <v>rohový_ne_vpravo_</v>
      </c>
      <c r="BK69" s="50">
        <v>2</v>
      </c>
      <c r="BL69" s="50">
        <v>3</v>
      </c>
      <c r="BM69" s="7" t="s">
        <v>5813</v>
      </c>
      <c r="BN69" s="7">
        <v>543616</v>
      </c>
      <c r="BO69" s="7">
        <v>543616</v>
      </c>
      <c r="BP69" s="7">
        <v>543616</v>
      </c>
      <c r="BQ69" s="7">
        <v>543616</v>
      </c>
      <c r="BR69" s="7">
        <v>543616</v>
      </c>
      <c r="BS69" s="7">
        <v>543616</v>
      </c>
      <c r="BT69" s="7">
        <v>543616</v>
      </c>
      <c r="BU69" s="7">
        <v>543616</v>
      </c>
      <c r="BV69" s="7">
        <v>543616</v>
      </c>
      <c r="BW69" s="7">
        <v>543616</v>
      </c>
      <c r="BX69" s="7">
        <v>543616</v>
      </c>
      <c r="BY69" s="7">
        <v>543616</v>
      </c>
      <c r="BZ69" s="7">
        <v>543616</v>
      </c>
      <c r="CA69" s="7">
        <v>543616</v>
      </c>
    </row>
    <row r="70" spans="2:84" ht="1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164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J70" s="7" t="str">
        <f>CONCATENATE(Překlady!$C$14,"_",Překlady!$C$16,"_",Překlady!$C$38,"_")</f>
        <v>rohový_ne_v rohu_</v>
      </c>
      <c r="BK70" s="50">
        <v>2</v>
      </c>
      <c r="BL70" s="50">
        <v>2</v>
      </c>
      <c r="BM70" s="7" t="s">
        <v>5817</v>
      </c>
      <c r="BN70" s="7">
        <v>543616</v>
      </c>
      <c r="BO70" s="7">
        <v>543616</v>
      </c>
      <c r="BP70" s="7">
        <v>543616</v>
      </c>
      <c r="BQ70" s="7">
        <v>543616</v>
      </c>
      <c r="BR70" s="7">
        <v>543616</v>
      </c>
      <c r="BS70" s="7">
        <v>543616</v>
      </c>
      <c r="BT70" s="7">
        <v>543616</v>
      </c>
      <c r="BU70" s="7">
        <v>543616</v>
      </c>
      <c r="BV70" s="7">
        <v>543616</v>
      </c>
      <c r="BW70" s="7">
        <v>543616</v>
      </c>
      <c r="BX70" s="7">
        <v>543616</v>
      </c>
      <c r="BY70" s="7">
        <v>543616</v>
      </c>
      <c r="BZ70" s="7">
        <v>543616</v>
      </c>
      <c r="CA70" s="7">
        <v>543616</v>
      </c>
      <c r="CF70" s="7" t="s">
        <v>5790</v>
      </c>
    </row>
    <row r="71" spans="2:84" ht="15" x14ac:dyDescent="0.25">
      <c r="B71" s="104"/>
      <c r="AC71" s="271" t="s">
        <v>163</v>
      </c>
      <c r="AD71" s="96"/>
      <c r="AE71" s="96"/>
      <c r="AI71" s="97"/>
      <c r="AK71" s="140" t="s">
        <v>165</v>
      </c>
      <c r="AL71" s="7" t="str">
        <f>Překlady!$C$34</f>
        <v>vlevo</v>
      </c>
      <c r="AM71" s="252" t="s">
        <v>166</v>
      </c>
      <c r="AN71" s="240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20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J71" s="7" t="str">
        <f>CONCATENATE(Překlady!$C$14,"_",Překlady!$C$15,"_",Překlady!$C$34,"_",Překlady!$C$34)</f>
        <v>rohový_ano_vlevo_vlevo</v>
      </c>
      <c r="BK71" s="50">
        <v>3</v>
      </c>
      <c r="BL71" s="50">
        <v>5</v>
      </c>
      <c r="BM71" s="7" t="s">
        <v>5818</v>
      </c>
      <c r="BN71" s="7">
        <v>543616</v>
      </c>
      <c r="BO71" s="7">
        <v>543616</v>
      </c>
      <c r="BP71" s="7">
        <v>543616</v>
      </c>
      <c r="BQ71" s="7">
        <v>543616</v>
      </c>
      <c r="BR71" s="7">
        <v>543616</v>
      </c>
      <c r="BS71" s="7">
        <v>543616</v>
      </c>
      <c r="BT71" s="7">
        <v>543616</v>
      </c>
      <c r="BU71" s="7">
        <v>543616</v>
      </c>
      <c r="BV71" s="7">
        <v>543616</v>
      </c>
      <c r="BW71" s="7">
        <v>543616</v>
      </c>
      <c r="BX71" s="7">
        <v>543616</v>
      </c>
      <c r="BY71" s="7">
        <v>543616</v>
      </c>
      <c r="BZ71" s="7">
        <v>543616</v>
      </c>
      <c r="CA71" s="7">
        <v>543616</v>
      </c>
      <c r="CF71" s="7" t="s">
        <v>5791</v>
      </c>
    </row>
    <row r="72" spans="2:84" ht="15.75" x14ac:dyDescent="0.25">
      <c r="B72" s="248" t="str">
        <f>Překlady!C39</f>
        <v>Definuj délky:</v>
      </c>
      <c r="C72" s="201"/>
      <c r="D72" s="201"/>
      <c r="E72" s="201"/>
      <c r="G72" s="178" t="s">
        <v>167</v>
      </c>
      <c r="I72" s="282"/>
      <c r="J72" s="282"/>
      <c r="K72" s="282"/>
      <c r="M72" s="170" t="s">
        <v>168</v>
      </c>
      <c r="O72" s="275"/>
      <c r="P72" s="275"/>
      <c r="Q72" s="179"/>
      <c r="AC72" s="271"/>
      <c r="AI72" s="97"/>
      <c r="AL72" s="7" t="str">
        <f>Překlady!$C$35</f>
        <v>vpravo</v>
      </c>
      <c r="AM72" s="252"/>
      <c r="AN72" s="240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154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J72" s="7" t="str">
        <f>CONCATENATE(Překlady!$C$14,"_",Překlady!$C$15,"_",Překlady!$C$35,"_",Překlady!$C$35)</f>
        <v>rohový_ano_vpravo_vpravo</v>
      </c>
      <c r="BK72" s="50">
        <v>3</v>
      </c>
      <c r="BL72" s="50">
        <v>5</v>
      </c>
      <c r="BM72" s="7" t="s">
        <v>5818</v>
      </c>
      <c r="BN72" s="7">
        <v>543616</v>
      </c>
      <c r="BO72" s="7">
        <v>543616</v>
      </c>
      <c r="BP72" s="7">
        <v>543616</v>
      </c>
      <c r="BQ72" s="7">
        <v>543616</v>
      </c>
      <c r="BR72" s="7">
        <v>543616</v>
      </c>
      <c r="BS72" s="7">
        <v>543616</v>
      </c>
      <c r="BT72" s="7">
        <v>543616</v>
      </c>
      <c r="BU72" s="7">
        <v>543616</v>
      </c>
      <c r="BV72" s="7">
        <v>543616</v>
      </c>
      <c r="BW72" s="7">
        <v>543616</v>
      </c>
      <c r="BX72" s="7">
        <v>543616</v>
      </c>
      <c r="BY72" s="7">
        <v>543616</v>
      </c>
      <c r="BZ72" s="7">
        <v>543616</v>
      </c>
      <c r="CA72" s="7">
        <v>543616</v>
      </c>
      <c r="CF72" s="7" t="s">
        <v>5791</v>
      </c>
    </row>
    <row r="73" spans="2:84" ht="15" customHeight="1" x14ac:dyDescent="0.25">
      <c r="B73" s="285" t="str">
        <f>Překlady!C83</f>
        <v xml:space="preserve"> Zadávejte celkovou vnější délku vč. koncovek</v>
      </c>
      <c r="C73" s="252"/>
      <c r="D73" s="252"/>
      <c r="E73" s="252"/>
      <c r="G73" s="168" t="s">
        <v>169</v>
      </c>
      <c r="I73" s="275"/>
      <c r="J73" s="275"/>
      <c r="K73" s="275"/>
      <c r="M73" s="170" t="s">
        <v>6809</v>
      </c>
      <c r="O73" s="275"/>
      <c r="P73" s="275"/>
      <c r="Q73" s="179" t="s">
        <v>170</v>
      </c>
      <c r="AI73" s="97"/>
      <c r="AL73" s="7" t="str">
        <f>IF(Sestava2!G65=Překlady!C15,Překlady!$C$36,IF(Sestava2!G63=Překlady!C14,Překlady!$C$38,""))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163</v>
      </c>
      <c r="AW73" s="7">
        <f>IF($AL$64=1,1,2)</f>
        <v>2</v>
      </c>
      <c r="BJ73" s="7" t="str">
        <f>CONCATENATE(Překlady!$C$14,"_",Překlady!$C$15,"_",Překlady!$C$34,"_",Překlady!$C$35)</f>
        <v>rohový_ano_vlevo_vpravo</v>
      </c>
      <c r="BK73" s="50">
        <v>3</v>
      </c>
      <c r="BL73" s="50">
        <v>5</v>
      </c>
      <c r="BM73" s="7" t="s">
        <v>5818</v>
      </c>
      <c r="BN73" s="7">
        <v>543616</v>
      </c>
      <c r="BO73" s="7">
        <v>543616</v>
      </c>
      <c r="BP73" s="7">
        <v>543616</v>
      </c>
      <c r="BQ73" s="7">
        <v>543616</v>
      </c>
      <c r="BR73" s="7">
        <v>543616</v>
      </c>
      <c r="BS73" s="7">
        <v>543616</v>
      </c>
      <c r="BT73" s="7">
        <v>543616</v>
      </c>
      <c r="BU73" s="7">
        <v>543616</v>
      </c>
      <c r="BV73" s="7">
        <v>543616</v>
      </c>
      <c r="BW73" s="7">
        <v>543616</v>
      </c>
      <c r="BX73" s="7">
        <v>543616</v>
      </c>
      <c r="BY73" s="7">
        <v>543616</v>
      </c>
      <c r="BZ73" s="7">
        <v>543616</v>
      </c>
      <c r="CA73" s="7">
        <v>543616</v>
      </c>
    </row>
    <row r="74" spans="2:84" ht="15" customHeight="1" x14ac:dyDescent="0.25">
      <c r="B74" s="285"/>
      <c r="C74" s="252"/>
      <c r="D74" s="252"/>
      <c r="E74" s="252"/>
      <c r="G74" s="170"/>
      <c r="I74" s="180"/>
      <c r="J74" s="180"/>
      <c r="K74" s="179"/>
      <c r="M74" s="170" t="s">
        <v>171</v>
      </c>
      <c r="Q74" s="179"/>
      <c r="AI74" s="97"/>
      <c r="AL74" s="7" t="str">
        <f>IF(AL73=Překlady!C38,"",IF(Sestava2!G63=Překlady!C14,Překlady!$C$38,""))</f>
        <v/>
      </c>
      <c r="AS74" s="50"/>
      <c r="AV74" s="7" t="s">
        <v>160</v>
      </c>
      <c r="AW74" s="7">
        <f>IF($AN$66=2,1,2)</f>
        <v>2</v>
      </c>
      <c r="BJ74" s="7" t="str">
        <f>CONCATENATE(Překlady!$C$14,"_",Překlady!$C$15,"_",Překlady!$C$35,"_",Překlady!$C$34)</f>
        <v>rohový_ano_vpravo_vlevo</v>
      </c>
      <c r="BK74" s="50">
        <v>3</v>
      </c>
      <c r="BL74" s="50">
        <v>5</v>
      </c>
      <c r="BM74" s="7" t="s">
        <v>5818</v>
      </c>
      <c r="BN74" s="7">
        <v>543616</v>
      </c>
      <c r="BO74" s="7">
        <v>543616</v>
      </c>
      <c r="BP74" s="7">
        <v>543616</v>
      </c>
      <c r="BQ74" s="7">
        <v>543616</v>
      </c>
      <c r="BR74" s="7">
        <v>543616</v>
      </c>
      <c r="BS74" s="7">
        <v>543616</v>
      </c>
      <c r="BT74" s="7">
        <v>543616</v>
      </c>
      <c r="BU74" s="7">
        <v>543616</v>
      </c>
      <c r="BV74" s="7">
        <v>543616</v>
      </c>
      <c r="BW74" s="7">
        <v>543616</v>
      </c>
      <c r="BX74" s="7">
        <v>543616</v>
      </c>
      <c r="BY74" s="7">
        <v>543616</v>
      </c>
      <c r="BZ74" s="7">
        <v>543616</v>
      </c>
      <c r="CA74" s="7">
        <v>543616</v>
      </c>
    </row>
    <row r="75" spans="2:84" ht="15" customHeight="1" x14ac:dyDescent="0.25">
      <c r="B75" s="181"/>
      <c r="C75" s="18"/>
      <c r="D75" s="18"/>
      <c r="E75" s="18"/>
      <c r="AI75" s="97"/>
      <c r="BJ75" s="7" t="str">
        <f>CONCATENATE(Překlady!$C$14,"_",Překlady!$C$15,"_",Překlady!$C$36,"_",Překlady!$C$35)</f>
        <v>rohový_ano_v přerušení_vpravo</v>
      </c>
      <c r="BK75" s="50">
        <v>3</v>
      </c>
      <c r="BL75" s="50">
        <v>4</v>
      </c>
      <c r="BM75" s="7" t="s">
        <v>5819</v>
      </c>
      <c r="BN75" s="7">
        <v>543616</v>
      </c>
      <c r="BO75" s="7">
        <v>543616</v>
      </c>
      <c r="BP75" s="7">
        <v>543616</v>
      </c>
      <c r="BQ75" s="7">
        <v>543616</v>
      </c>
      <c r="BR75" s="7">
        <v>543616</v>
      </c>
      <c r="BS75" s="7">
        <v>543616</v>
      </c>
      <c r="BT75" s="7">
        <v>543616</v>
      </c>
      <c r="BU75" s="7">
        <v>543616</v>
      </c>
      <c r="BV75" s="7">
        <v>543616</v>
      </c>
      <c r="BW75" s="7">
        <v>543616</v>
      </c>
      <c r="BX75" s="7">
        <v>543616</v>
      </c>
      <c r="BY75" s="7">
        <v>543616</v>
      </c>
      <c r="BZ75" s="7">
        <v>543616</v>
      </c>
      <c r="CA75" s="7">
        <v>543616</v>
      </c>
    </row>
    <row r="76" spans="2:84" ht="15" x14ac:dyDescent="0.25">
      <c r="B76" s="104"/>
      <c r="AI76" s="97"/>
      <c r="BJ76" s="7" t="str">
        <f>CONCATENATE(Překlady!$C$14,"_",Překlady!$C$15,"_",Překlady!$C$36,"_",Překlady!$C$34)</f>
        <v>rohový_ano_v přerušení_vlevo</v>
      </c>
      <c r="BK76" s="50">
        <v>3</v>
      </c>
      <c r="BL76" s="50">
        <v>4</v>
      </c>
      <c r="BM76" s="7" t="s">
        <v>5819</v>
      </c>
      <c r="BN76" s="7">
        <v>543616</v>
      </c>
      <c r="BO76" s="7">
        <v>543616</v>
      </c>
      <c r="BP76" s="7">
        <v>543616</v>
      </c>
      <c r="BQ76" s="7">
        <v>543616</v>
      </c>
      <c r="BR76" s="7">
        <v>543616</v>
      </c>
      <c r="BS76" s="7">
        <v>543616</v>
      </c>
      <c r="BT76" s="7">
        <v>543616</v>
      </c>
      <c r="BU76" s="7">
        <v>543616</v>
      </c>
      <c r="BV76" s="7">
        <v>543616</v>
      </c>
      <c r="BW76" s="7">
        <v>543616</v>
      </c>
      <c r="BX76" s="7">
        <v>543616</v>
      </c>
      <c r="BY76" s="7">
        <v>543616</v>
      </c>
      <c r="BZ76" s="7">
        <v>543616</v>
      </c>
      <c r="CA76" s="7">
        <v>543616</v>
      </c>
    </row>
    <row r="77" spans="2:84" ht="12.75" customHeight="1" x14ac:dyDescent="0.25">
      <c r="B77" s="104"/>
      <c r="AI77" s="97"/>
      <c r="BJ77" s="7" t="str">
        <f>CONCATENATE(Překlady!$C$14,"_",Překlady!$C$15,"_",Překlady!$C$38,"_",Překlady!$C$35)</f>
        <v>rohový_ano_v rohu_vpravo</v>
      </c>
      <c r="BK77" s="50">
        <v>3</v>
      </c>
      <c r="BL77" s="50">
        <v>4</v>
      </c>
      <c r="BM77" s="7" t="s">
        <v>5820</v>
      </c>
      <c r="BN77" s="7">
        <v>543616</v>
      </c>
      <c r="BO77" s="7">
        <v>543616</v>
      </c>
      <c r="BP77" s="7">
        <v>543616</v>
      </c>
      <c r="BQ77" s="7">
        <v>543616</v>
      </c>
      <c r="BR77" s="7">
        <v>543616</v>
      </c>
      <c r="BS77" s="7">
        <v>543616</v>
      </c>
      <c r="BT77" s="7">
        <v>543616</v>
      </c>
      <c r="BU77" s="7">
        <v>543616</v>
      </c>
      <c r="BV77" s="7">
        <v>543616</v>
      </c>
      <c r="BW77" s="7">
        <v>543616</v>
      </c>
      <c r="BX77" s="7">
        <v>543616</v>
      </c>
      <c r="BY77" s="7">
        <v>543616</v>
      </c>
      <c r="BZ77" s="7">
        <v>543616</v>
      </c>
      <c r="CA77" s="7">
        <v>543616</v>
      </c>
      <c r="CF77" s="7" t="s">
        <v>5792</v>
      </c>
    </row>
    <row r="78" spans="2:84" ht="15" x14ac:dyDescent="0.25">
      <c r="B78" s="104"/>
      <c r="AI78" s="97"/>
      <c r="BJ78" s="7" t="str">
        <f>CONCATENATE(Překlady!$C$14,"_",Překlady!$C$15,"_",Překlady!$C$38,"_",Překlady!$C$34)</f>
        <v>rohový_ano_v rohu_vlevo</v>
      </c>
      <c r="BK78" s="50">
        <v>3</v>
      </c>
      <c r="BL78" s="50">
        <v>4</v>
      </c>
      <c r="BM78" s="7" t="s">
        <v>5820</v>
      </c>
      <c r="BN78" s="7">
        <v>543616</v>
      </c>
      <c r="BO78" s="7">
        <v>543616</v>
      </c>
      <c r="BP78" s="7">
        <v>543616</v>
      </c>
      <c r="BQ78" s="7">
        <v>543616</v>
      </c>
      <c r="BR78" s="7">
        <v>543616</v>
      </c>
      <c r="BS78" s="7">
        <v>543616</v>
      </c>
      <c r="BT78" s="7">
        <v>543616</v>
      </c>
      <c r="BU78" s="7">
        <v>543616</v>
      </c>
      <c r="BV78" s="7">
        <v>543616</v>
      </c>
      <c r="BW78" s="7">
        <v>543616</v>
      </c>
      <c r="BX78" s="7">
        <v>543616</v>
      </c>
      <c r="BY78" s="7">
        <v>543616</v>
      </c>
      <c r="BZ78" s="7">
        <v>543616</v>
      </c>
      <c r="CA78" s="7">
        <v>543616</v>
      </c>
      <c r="CF78" s="7" t="s">
        <v>5793</v>
      </c>
    </row>
    <row r="79" spans="2:84" ht="15" customHeight="1" x14ac:dyDescent="0.25">
      <c r="B79" s="104"/>
      <c r="AI79" s="97"/>
      <c r="BJ79" s="7" t="e">
        <f>MATCH(BJ61,BJ63:BJ78,0)</f>
        <v>#N/A</v>
      </c>
      <c r="BK79" s="155" t="e" cm="1">
        <f t="array" ref="BK79">INDEX($BK$63:BK78,BJ79)</f>
        <v>#N/A</v>
      </c>
      <c r="BL79" s="155" t="e" cm="1">
        <f t="array" ref="BL79">INDEX($BL$63:BL78,BJ79)</f>
        <v>#N/A</v>
      </c>
      <c r="BW79" s="17" t="s">
        <v>111</v>
      </c>
      <c r="BX79" s="7" t="s">
        <v>5803</v>
      </c>
    </row>
    <row r="80" spans="2:84" ht="15" customHeight="1" x14ac:dyDescent="0.25">
      <c r="B80" s="104"/>
      <c r="AI80" s="97"/>
      <c r="BW80" s="17" t="s">
        <v>5805</v>
      </c>
      <c r="BX80" s="7" t="s">
        <v>5806</v>
      </c>
    </row>
    <row r="81" spans="2:76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 t="s">
        <v>5805</v>
      </c>
      <c r="BX81" s="7" t="s">
        <v>5804</v>
      </c>
    </row>
    <row r="82" spans="2:76" ht="7.5" customHeight="1" x14ac:dyDescent="0.25"/>
    <row r="83" spans="2:76" ht="7.5" customHeight="1" thickBot="1" x14ac:dyDescent="0.3"/>
    <row r="84" spans="2:76" ht="1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6" ht="15.75" customHeight="1" x14ac:dyDescent="0.25">
      <c r="B85" s="246" t="str">
        <f>Překlady!C67</f>
        <v>LED pásek:</v>
      </c>
      <c r="C85" s="247"/>
      <c r="D85" s="247"/>
      <c r="E85" s="247"/>
      <c r="M85" s="255" t="s">
        <v>172</v>
      </c>
      <c r="N85" s="256"/>
      <c r="O85" s="256"/>
      <c r="P85" s="256"/>
      <c r="Q85" s="256"/>
      <c r="R85" s="256"/>
      <c r="S85" s="256"/>
      <c r="T85" s="280"/>
      <c r="U85" s="259" t="s">
        <v>173</v>
      </c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I85" s="97"/>
      <c r="AL85" s="17" t="s">
        <v>174</v>
      </c>
      <c r="AM85" s="7" t="s">
        <v>175</v>
      </c>
    </row>
    <row r="86" spans="2:76" ht="15" customHeight="1" x14ac:dyDescent="0.25">
      <c r="B86" s="246"/>
      <c r="C86" s="247"/>
      <c r="D86" s="247"/>
      <c r="E86" s="247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I86" s="97"/>
      <c r="AL86" s="17"/>
      <c r="AM86" s="7" t="s">
        <v>173</v>
      </c>
    </row>
    <row r="87" spans="2:76" ht="15" x14ac:dyDescent="0.25">
      <c r="B87" s="104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I87" s="97"/>
      <c r="AL87" s="17"/>
      <c r="AM87" s="7" t="str">
        <f>IF(AND(ISBLANK(G19)=TRUE,G89="24V"),"neon","")</f>
        <v/>
      </c>
    </row>
    <row r="88" spans="2:76" ht="15" x14ac:dyDescent="0.25">
      <c r="B88" s="104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I88" s="97"/>
    </row>
    <row r="89" spans="2:76" ht="15.75" x14ac:dyDescent="0.25">
      <c r="B89" s="249" t="str">
        <f>Překlady!C68</f>
        <v>Napětí:</v>
      </c>
      <c r="C89" s="250"/>
      <c r="D89" s="250"/>
      <c r="E89" s="250"/>
      <c r="G89" s="203"/>
      <c r="H89" s="203"/>
      <c r="I89" s="203"/>
      <c r="J89" s="203"/>
      <c r="K89" s="20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I89" s="97"/>
      <c r="AL89" s="17" t="s">
        <v>177</v>
      </c>
      <c r="AM89" s="7" t="str">
        <f>CONCATENATE(G89,"_",G91)</f>
        <v>_</v>
      </c>
      <c r="AP89" s="17" t="s">
        <v>178</v>
      </c>
      <c r="AQ89" s="7" t="s">
        <v>179</v>
      </c>
    </row>
    <row r="90" spans="2:76" ht="15" x14ac:dyDescent="0.25">
      <c r="B90" s="104"/>
      <c r="C90" s="102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I90" s="97"/>
      <c r="AL90" s="17" t="s">
        <v>180</v>
      </c>
      <c r="AM90" s="7" t="e">
        <f>VLOOKUP(AM89,AP89:AQ93,2,0)</f>
        <v>#N/A</v>
      </c>
      <c r="AP90" s="17" t="s">
        <v>181</v>
      </c>
      <c r="AQ90" s="7" t="s">
        <v>179</v>
      </c>
    </row>
    <row r="91" spans="2:76" ht="15.75" x14ac:dyDescent="0.25">
      <c r="B91" s="249" t="str">
        <f>Překlady!C69</f>
        <v>Typ led pásku:</v>
      </c>
      <c r="C91" s="250"/>
      <c r="D91" s="250"/>
      <c r="E91" s="250"/>
      <c r="G91" s="203"/>
      <c r="H91" s="203"/>
      <c r="I91" s="203"/>
      <c r="J91" s="203"/>
      <c r="K91" s="20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I91" s="97"/>
      <c r="AL91" s="17"/>
      <c r="AP91" s="7" t="s">
        <v>182</v>
      </c>
      <c r="AQ91" s="7" t="s">
        <v>183</v>
      </c>
    </row>
    <row r="92" spans="2:76" ht="15" x14ac:dyDescent="0.25">
      <c r="B92" s="104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I92" s="97"/>
      <c r="AL92" s="17"/>
      <c r="AP92" s="7" t="s">
        <v>184</v>
      </c>
      <c r="AQ92" s="7" t="s">
        <v>179</v>
      </c>
    </row>
    <row r="93" spans="2:76" ht="15.75" x14ac:dyDescent="0.25">
      <c r="B93" s="249" t="str">
        <f>Překlady!C70</f>
        <v>Teplota LED pásku:</v>
      </c>
      <c r="C93" s="250"/>
      <c r="D93" s="250"/>
      <c r="E93" s="250"/>
      <c r="G93" s="203"/>
      <c r="H93" s="203"/>
      <c r="I93" s="203"/>
      <c r="J93" s="203"/>
      <c r="K93" s="203"/>
      <c r="AI93" s="97"/>
      <c r="AP93" s="7" t="s">
        <v>185</v>
      </c>
      <c r="AQ93" s="7" t="s">
        <v>186</v>
      </c>
    </row>
    <row r="94" spans="2:76" ht="15.75" x14ac:dyDescent="0.25">
      <c r="B94" s="104"/>
      <c r="U94" s="259" t="str">
        <f>Překlady!C70</f>
        <v>Teplota LED pásku:</v>
      </c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I94" s="97"/>
    </row>
    <row r="95" spans="2:76" ht="15.75" x14ac:dyDescent="0.25">
      <c r="B95" s="249" t="str">
        <f>Překlady!C75</f>
        <v>Svítivost:</v>
      </c>
      <c r="C95" s="250"/>
      <c r="D95" s="250"/>
      <c r="E95" s="250"/>
      <c r="G95" s="203"/>
      <c r="H95" s="203"/>
      <c r="I95" s="203"/>
      <c r="J95" s="203"/>
      <c r="K95" s="20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I95" s="97"/>
      <c r="AL95" s="17" t="s">
        <v>187</v>
      </c>
      <c r="AM95" s="7" t="str">
        <f>IF(G91="neon","teplota1",IF(AM89="24V_COB","teplota3","teplota2"))</f>
        <v>teplota2</v>
      </c>
    </row>
    <row r="96" spans="2:76" ht="15" x14ac:dyDescent="0.25">
      <c r="B96" s="104"/>
      <c r="C96" s="7" t="str">
        <f>Překlady!C80</f>
        <v>pozn: pro osvětlení pracovní desky stačí vysoká svítivost</v>
      </c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I96" s="97"/>
    </row>
    <row r="97" spans="1:56" ht="15" x14ac:dyDescent="0.25">
      <c r="B97" s="104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I97" s="97"/>
    </row>
    <row r="98" spans="1:56" ht="15.75" x14ac:dyDescent="0.25">
      <c r="B98" s="249" t="str">
        <f>Překlady!C67</f>
        <v>LED pásek:</v>
      </c>
      <c r="C98" s="250"/>
      <c r="D98" s="250"/>
      <c r="E98" s="250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I98" s="97"/>
    </row>
    <row r="99" spans="1:56" ht="15" x14ac:dyDescent="0.25">
      <c r="B99" s="104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2"/>
      <c r="R99" s="22"/>
      <c r="S99" s="22"/>
      <c r="T99" s="22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I99" s="97"/>
    </row>
    <row r="100" spans="1:56" ht="15" x14ac:dyDescent="0.25">
      <c r="B100" s="104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I100" s="97"/>
      <c r="AL100" s="7" t="s">
        <v>137</v>
      </c>
      <c r="AM100" s="7" t="str">
        <f>CONCATENATE(G89,"_",G91,"_",G93,"_",G95)</f>
        <v>___</v>
      </c>
      <c r="AP100" s="7" t="s">
        <v>189</v>
      </c>
      <c r="AQ100" s="50">
        <f>COUNTIF(Produkty!A107:A154,AM100)</f>
        <v>0</v>
      </c>
    </row>
    <row r="101" spans="1:56" ht="15.75" x14ac:dyDescent="0.25">
      <c r="A101" s="71">
        <f>IF(AND(G69=Překlady!C15,Sestava2!AL64=0),1,0)</f>
        <v>0</v>
      </c>
      <c r="B101" s="304" t="str">
        <f>IF(A101=1,Překlady!C110,"")</f>
        <v/>
      </c>
      <c r="C101" s="303"/>
      <c r="D101" s="303"/>
      <c r="E101" s="303"/>
      <c r="G101" s="287"/>
      <c r="H101" s="287"/>
      <c r="I101" s="287"/>
      <c r="J101" s="287"/>
      <c r="K101" s="287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I101" s="97"/>
      <c r="AL101" s="17" t="s">
        <v>190</v>
      </c>
      <c r="AM101" s="7" t="str">
        <f>IFERROR((VLOOKUP(AM100,Produkty!A107:B154,2,0)),Překlady!C143)</f>
        <v>Led pásek dle zadaných parametrů nemáme v nabídce</v>
      </c>
      <c r="AN101" s="7" t="e">
        <f>VLOOKUP(AM100,Produkty!A107:C154,3,0)</f>
        <v>#N/A</v>
      </c>
    </row>
    <row r="102" spans="1:56" ht="15" x14ac:dyDescent="0.25">
      <c r="B102" s="104"/>
      <c r="Z102" s="278"/>
      <c r="AA102" s="278"/>
      <c r="AB102" s="278"/>
      <c r="AC102" s="182"/>
      <c r="AE102" s="140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56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56" ht="15" x14ac:dyDescent="0.25">
      <c r="AL104" s="17" t="s">
        <v>5780</v>
      </c>
      <c r="AM104" s="7" t="e">
        <f>VLOOKUP(G112,Ses2_pom!A58:D108,AN104,0)*IF(W112="",1,W112)</f>
        <v>#N/A</v>
      </c>
      <c r="AN104" s="7">
        <f>IF(G89="12V",3,4)</f>
        <v>4</v>
      </c>
    </row>
    <row r="105" spans="1:56" ht="15.75" thickBot="1" x14ac:dyDescent="0.3">
      <c r="BB105" s="17" t="s">
        <v>191</v>
      </c>
      <c r="BC105" s="7" t="str" cm="1">
        <f t="array" ref="BC105">IF(W110=Překlady!C93,RJ_kineticke,IF(OR(G112=Produkty!B220,G112=Produkty!B221),RJ_bat,IF(G112=Produkty!B225,Produkty!B231,"")))</f>
        <v/>
      </c>
      <c r="BD105" s="140" t="s">
        <v>192</v>
      </c>
    </row>
    <row r="106" spans="1:56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</row>
    <row r="107" spans="1:56" ht="15" customHeight="1" x14ac:dyDescent="0.25">
      <c r="B107" s="246" t="str">
        <f>Překlady!C100</f>
        <v>Ovládání:</v>
      </c>
      <c r="C107" s="247"/>
      <c r="D107" s="247"/>
      <c r="E107" s="247"/>
      <c r="AD107" s="210" t="str">
        <f>Překlady!C103&amp;" "&amp;Překlady!C104&amp;":"</f>
        <v>Přehled ovladačů zde:</v>
      </c>
      <c r="AE107" s="210"/>
      <c r="AF107" s="210"/>
      <c r="AG107" s="211"/>
      <c r="AI107" s="97"/>
      <c r="AL107" s="7" t="s">
        <v>193</v>
      </c>
      <c r="AM107" s="7" t="str">
        <f>IFERROR((VLOOKUP(AQ107,Ses2_pom!$A$37:$B$55,2,0)),"")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194</v>
      </c>
      <c r="AX107" s="7" t="s">
        <v>195</v>
      </c>
    </row>
    <row r="108" spans="1:56" ht="15" customHeight="1" x14ac:dyDescent="0.25">
      <c r="B108" s="246"/>
      <c r="C108" s="247"/>
      <c r="D108" s="247"/>
      <c r="E108" s="247"/>
      <c r="AD108" s="210"/>
      <c r="AE108" s="210"/>
      <c r="AF108" s="210"/>
      <c r="AG108" s="211"/>
      <c r="AI108" s="97"/>
      <c r="AM108" s="7" t="str">
        <f>IFERROR((VLOOKUP(AQ108,Ses2_pom!$A$37:$B$55,2,0)),"")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</row>
    <row r="109" spans="1:56" ht="15" x14ac:dyDescent="0.25">
      <c r="B109" s="104"/>
      <c r="AI109" s="97"/>
      <c r="AM109" s="7" t="str">
        <f>IFERROR((VLOOKUP(AQ109,Ses2_pom!$A$37:$B$55,2,0)),"")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</row>
    <row r="110" spans="1:56" ht="15.75" x14ac:dyDescent="0.25">
      <c r="B110" s="249" t="str">
        <f>Překlady!C89</f>
        <v>Způsob ovládání sestavy:</v>
      </c>
      <c r="C110" s="250"/>
      <c r="D110" s="250"/>
      <c r="E110" s="250"/>
      <c r="G110" s="281"/>
      <c r="H110" s="281"/>
      <c r="I110" s="281"/>
      <c r="J110" s="281"/>
      <c r="K110" s="281"/>
      <c r="L110" s="281"/>
      <c r="M110" s="281"/>
      <c r="N110" s="281"/>
      <c r="O110" s="281"/>
      <c r="Q110" s="215" t="str">
        <f>IF(G110=Překlady!C87,Překlady!C92,"")</f>
        <v/>
      </c>
      <c r="R110" s="215"/>
      <c r="S110" s="215"/>
      <c r="T110" s="215"/>
      <c r="U110" s="215"/>
      <c r="W110" s="306"/>
      <c r="X110" s="306"/>
      <c r="Y110" s="183"/>
      <c r="Z110" s="184"/>
      <c r="AA110" s="184"/>
      <c r="AB110" s="184"/>
      <c r="AI110" s="97"/>
      <c r="AM110" s="7" t="str">
        <f>IFERROR((VLOOKUP(AQ110,Ses2_pom!$A$37:$B$55,2,0)),"")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IF(AND(G110=Překlady!C87,OR(Sestava2!W110=Překlady!C93,W110=Překlady!C94)),1,2)</f>
        <v>2</v>
      </c>
    </row>
    <row r="111" spans="1:56" ht="15" x14ac:dyDescent="0.25">
      <c r="B111" s="104"/>
      <c r="AI111" s="97"/>
      <c r="AM111" s="7" t="str">
        <f>IFERROR((VLOOKUP(AQ111,Ses2_pom!$A$37:$B$55,2,0)),"")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6575</v>
      </c>
      <c r="BC111" s="7" t="str">
        <f>IF(AND(ISBLANK(G114)=FALSE,$BD$106=1),Překlady!C97,"")</f>
        <v/>
      </c>
    </row>
    <row r="112" spans="1:56" ht="15.75" customHeight="1" x14ac:dyDescent="0.25">
      <c r="B112" s="277" t="str">
        <f>IF(AY112=1,Překlady!C90,"")</f>
        <v/>
      </c>
      <c r="C112" s="215"/>
      <c r="D112" s="215"/>
      <c r="E112" s="215"/>
      <c r="G112" s="279"/>
      <c r="H112" s="279"/>
      <c r="I112" s="279"/>
      <c r="J112" s="279"/>
      <c r="K112" s="279"/>
      <c r="L112" s="279"/>
      <c r="M112" s="279"/>
      <c r="N112" s="279"/>
      <c r="O112" s="279"/>
      <c r="P112" s="185"/>
      <c r="Q112" s="215" t="str">
        <f>IF(AL113=1,Překlady!C96,"")</f>
        <v/>
      </c>
      <c r="R112" s="215"/>
      <c r="S112" s="215"/>
      <c r="T112" s="215"/>
      <c r="U112" s="215"/>
      <c r="W112" s="287"/>
      <c r="X112" s="287"/>
      <c r="Y112" s="50"/>
      <c r="Z112" s="288" t="str">
        <f>IF(AL132=1,Překlady!C128,"")</f>
        <v/>
      </c>
      <c r="AA112" s="288"/>
      <c r="AB112" s="288"/>
      <c r="AC112" s="288"/>
      <c r="AD112" s="288"/>
      <c r="AE112" s="288"/>
      <c r="AG112" s="117"/>
      <c r="AI112" s="97"/>
      <c r="AM112" s="7" t="str">
        <f>IFERROR((VLOOKUP(AQ112,Ses2_pom!$A$37:$B$55,2,0)),"")</f>
        <v/>
      </c>
      <c r="AN112" s="7">
        <v>6</v>
      </c>
      <c r="AQ112" s="7" t="str">
        <f t="shared" si="0"/>
        <v>_6</v>
      </c>
      <c r="AW112" s="169"/>
      <c r="AX112" s="186" t="s">
        <v>198</v>
      </c>
      <c r="AY112" s="169" t="str">
        <f>IFERROR((VLOOKUP(G110,AX108:AY111,2,0)),"")</f>
        <v/>
      </c>
      <c r="BC112" s="7" t="str">
        <f>IF(AND(ISBLANK(G114)=FALSE,$BD$106=1),Překlady!C98,"")</f>
        <v/>
      </c>
    </row>
    <row r="113" spans="2:50" ht="15" x14ac:dyDescent="0.25">
      <c r="B113" s="104"/>
      <c r="AI113" s="97"/>
      <c r="AK113" s="140" t="s">
        <v>199</v>
      </c>
      <c r="AL113" s="50">
        <f>IF(AY112=1,IF(OR(AL64=1,AL65=1),1,2),2)</f>
        <v>2</v>
      </c>
      <c r="AM113" s="7" t="str">
        <f>IFERROR((VLOOKUP(AQ113,Ses2_pom!$A$37:$B$55,2,0)),"")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277" t="str">
        <f>Překlady!C95</f>
        <v>Jednotka:</v>
      </c>
      <c r="C114" s="215"/>
      <c r="D114" s="215"/>
      <c r="E114" s="215"/>
      <c r="F114" s="187"/>
      <c r="G114" s="302"/>
      <c r="H114" s="302"/>
      <c r="I114" s="302"/>
      <c r="J114" s="302"/>
      <c r="K114" s="302"/>
      <c r="L114" s="302"/>
      <c r="M114" s="302"/>
      <c r="N114" s="302"/>
      <c r="O114" s="302"/>
      <c r="Q114" s="303" t="str">
        <f>IF($BD$106=1,Překlady!C102,"")</f>
        <v/>
      </c>
      <c r="R114" s="303"/>
      <c r="S114" s="303"/>
      <c r="T114" s="303"/>
      <c r="U114" s="303"/>
      <c r="W114" s="214"/>
      <c r="X114" s="214"/>
      <c r="Y114" s="214"/>
      <c r="Z114" s="214"/>
      <c r="AA114" s="214"/>
      <c r="AB114" s="214"/>
      <c r="AC114" s="214"/>
      <c r="AI114" s="97"/>
      <c r="AK114" s="140" t="s">
        <v>200</v>
      </c>
      <c r="AL114" s="7">
        <f>IF(OR(AL115=1,AL116=1),1,2)</f>
        <v>2</v>
      </c>
      <c r="AM114" s="7" t="str">
        <f>IFERROR((VLOOKUP(AQ114,Ses2_pom!$A$37:$B$55,2,0)),"")</f>
        <v/>
      </c>
      <c r="AN114" s="7">
        <v>8</v>
      </c>
      <c r="AQ114" s="7" t="str">
        <f t="shared" si="0"/>
        <v>_8</v>
      </c>
    </row>
    <row r="115" spans="2:50" ht="15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IFERROR((VLOOKUP(AQ115,Ses2_pom!$A$37:$B$55,2,0)),"")</f>
        <v/>
      </c>
      <c r="AN115" s="7">
        <v>9</v>
      </c>
      <c r="AQ115" s="7" t="str">
        <f t="shared" si="0"/>
        <v>_9</v>
      </c>
    </row>
    <row r="116" spans="2:50" ht="15" x14ac:dyDescent="0.25">
      <c r="B116" s="104"/>
      <c r="C116" s="258" t="str">
        <f>IF(ISBLANK(G114)=FALSE,IF(AM120&gt;AM104,Překlady!C121,""),"")</f>
        <v/>
      </c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R116" s="17"/>
      <c r="AI116" s="97"/>
      <c r="AL116" s="7">
        <f>IF(W110=Překlady!C94,IF(G112=Produkty!B220,1,2),2)</f>
        <v>2</v>
      </c>
      <c r="AM116" s="7" t="str">
        <f>IFERROR((VLOOKUP(AQ116,Ses2_pom!$A$37:$B$55,2,0)),"")</f>
        <v/>
      </c>
      <c r="AN116" s="7">
        <v>10</v>
      </c>
      <c r="AQ116" s="7" t="str">
        <f t="shared" si="0"/>
        <v>_10</v>
      </c>
    </row>
    <row r="117" spans="2:50" ht="15" x14ac:dyDescent="0.25">
      <c r="B117" s="104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R117" s="17"/>
      <c r="AI117" s="97"/>
      <c r="AX117" s="7" t="s">
        <v>201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202</v>
      </c>
    </row>
    <row r="119" spans="2:50" ht="15" x14ac:dyDescent="0.25">
      <c r="B119" s="104"/>
      <c r="AI119" s="97"/>
      <c r="AL119" s="186" t="s">
        <v>203</v>
      </c>
      <c r="AM119" s="169" t="e">
        <f>VLOOKUP(G89,AL123:AM124,2,0)</f>
        <v>#N/A</v>
      </c>
      <c r="AX119" s="7" t="s">
        <v>204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205</v>
      </c>
      <c r="AM120" s="7" t="e">
        <f>(I72+I73+O72+O73)/1000*VLOOKUP(G98,Produkty!B107:M154,12,0)</f>
        <v>#N/A</v>
      </c>
    </row>
    <row r="121" spans="2:50" ht="15" x14ac:dyDescent="0.25">
      <c r="B121" s="104"/>
      <c r="AI121" s="97"/>
      <c r="AL121" s="7" t="s">
        <v>206</v>
      </c>
      <c r="AM121" s="188">
        <v>0.3</v>
      </c>
    </row>
    <row r="122" spans="2:50" ht="15" x14ac:dyDescent="0.25">
      <c r="B122" s="104"/>
      <c r="C122" s="294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6"/>
      <c r="AI122" s="97"/>
      <c r="AM122" s="7" t="e">
        <f>CEILING(AM120*(1+AM121),1)</f>
        <v>#N/A</v>
      </c>
    </row>
    <row r="123" spans="2:50" ht="15" x14ac:dyDescent="0.25">
      <c r="B123" s="104"/>
      <c r="C123" s="29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98"/>
      <c r="AI123" s="97"/>
      <c r="AL123" s="7" t="s">
        <v>176</v>
      </c>
      <c r="AM123" s="7" t="e" cm="1">
        <f t="array" ref="AM123">INDEX(Produkty!M234:M239,MATCH(1,(Sestava2!AM122&gt;=Produkty!K234:K239)*(AM122&lt;=Produkty!L234:L239),0))</f>
        <v>#N/A</v>
      </c>
    </row>
    <row r="124" spans="2:50" ht="15" x14ac:dyDescent="0.25">
      <c r="B124" s="104"/>
      <c r="C124" s="29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98"/>
      <c r="AI124" s="97"/>
      <c r="AL124" s="7" t="s">
        <v>207</v>
      </c>
      <c r="AM124" s="7" t="e" cm="1">
        <f t="array" ref="AM124">INDEX(Produkty!M243:M247,MATCH(1,(AM122&gt;=Produkty!K243:K247)*(AM122&lt;=Produkty!L243:L247),0))</f>
        <v>#N/A</v>
      </c>
    </row>
    <row r="125" spans="2:50" ht="15" x14ac:dyDescent="0.25">
      <c r="B125" s="104"/>
      <c r="C125" s="29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98"/>
      <c r="AI125" s="97"/>
    </row>
    <row r="126" spans="2:50" ht="15" customHeight="1" x14ac:dyDescent="0.25">
      <c r="B126" s="104"/>
      <c r="C126" s="29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98"/>
      <c r="AI126" s="97"/>
    </row>
    <row r="127" spans="2:50" ht="15" customHeight="1" x14ac:dyDescent="0.25">
      <c r="B127" s="104"/>
      <c r="C127" s="299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1"/>
      <c r="AI127" s="97"/>
      <c r="AK127" s="140" t="s">
        <v>196</v>
      </c>
      <c r="AL127" s="140" t="e">
        <f>IF(G110=Překlady!C85,VLOOKUP(Ses1_pom!B5,Ses1_pom!B7:D22,3,0),VLOOKUP(Ses1_pom!B5,Ses1_pom!B7:C22,2,0))</f>
        <v>#N/A</v>
      </c>
    </row>
    <row r="128" spans="2:50" ht="15" x14ac:dyDescent="0.25">
      <c r="B128" s="104"/>
      <c r="AI128" s="97"/>
      <c r="AL128" s="140"/>
    </row>
    <row r="129" spans="2:39" ht="15.75" x14ac:dyDescent="0.25">
      <c r="B129" s="104"/>
      <c r="C129" s="74" t="str">
        <f>Překlady!C135</f>
        <v>Pro pokračování vyplňte pole Počet sestav níže.</v>
      </c>
      <c r="AI129" s="97"/>
      <c r="AL129" s="140" t="e">
        <f>IF(AL127=1,1,IF(AL127=2,2,IF(AL127=3,1,"")))</f>
        <v>#N/A</v>
      </c>
    </row>
    <row r="130" spans="2:39" ht="28.15" customHeight="1" x14ac:dyDescent="0.25">
      <c r="B130" s="290" t="str">
        <f>Překlady!C131</f>
        <v>Počet sestav:</v>
      </c>
      <c r="C130" s="291"/>
      <c r="D130" s="291"/>
      <c r="E130" s="291"/>
      <c r="G130" s="292"/>
      <c r="H130" s="292"/>
      <c r="I130" s="292"/>
      <c r="K130" s="293" t="str">
        <f>IF(AM130=TRUE,Překlady!$C$105,"")</f>
        <v/>
      </c>
      <c r="L130" s="293"/>
      <c r="M130" s="293"/>
      <c r="N130" s="293"/>
      <c r="R130" s="289" t="str">
        <f>Překlady!$C$11&amp;" 1"</f>
        <v>Sestava 1</v>
      </c>
      <c r="S130" s="289"/>
      <c r="T130" s="289"/>
      <c r="U130" s="289"/>
      <c r="W130" s="289" t="str">
        <f>Překlady!$C$11&amp;" 3"</f>
        <v>Sestava 3</v>
      </c>
      <c r="X130" s="289"/>
      <c r="Y130" s="289"/>
      <c r="Z130" s="289"/>
      <c r="AA130" s="50"/>
      <c r="AC130" s="289" t="str">
        <f>Překlady!$C$11&amp;" 4"</f>
        <v>Sestava 4</v>
      </c>
      <c r="AD130" s="289"/>
      <c r="AE130" s="289"/>
      <c r="AF130" s="289"/>
      <c r="AI130" s="97"/>
      <c r="AL130" s="140" t="e">
        <f>IF(AL127=3,2,"")</f>
        <v>#N/A</v>
      </c>
      <c r="AM130" s="7" t="b">
        <f>G130&lt;&gt;""</f>
        <v>0</v>
      </c>
    </row>
    <row r="131" spans="2:39" ht="15" x14ac:dyDescent="0.25">
      <c r="B131" s="104"/>
      <c r="AI131" s="97"/>
      <c r="AL131" s="140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40" t="s">
        <v>5830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t="15" hidden="1" x14ac:dyDescent="0.25">
      <c r="P138" s="189"/>
      <c r="Q138" s="18"/>
      <c r="R138" s="18"/>
      <c r="S138" s="18"/>
      <c r="T138" s="18"/>
      <c r="U138" s="18"/>
      <c r="V138" s="18"/>
      <c r="W138" s="18"/>
    </row>
    <row r="139" spans="2:39" ht="15" hidden="1" x14ac:dyDescent="0.25">
      <c r="P139" s="189"/>
      <c r="Q139" s="18"/>
      <c r="R139" s="18"/>
      <c r="S139" s="18"/>
      <c r="T139" s="18"/>
      <c r="U139" s="18"/>
      <c r="V139" s="18"/>
      <c r="W139" s="18"/>
    </row>
    <row r="140" spans="2:39" ht="15" hidden="1" x14ac:dyDescent="0.25">
      <c r="P140" s="190"/>
      <c r="Q140" s="141"/>
      <c r="R140" s="141"/>
      <c r="S140" s="141"/>
      <c r="T140" s="141"/>
      <c r="U140" s="141"/>
      <c r="V140" s="141"/>
      <c r="W140" s="141"/>
    </row>
    <row r="147" spans="3:3" ht="15" hidden="1" x14ac:dyDescent="0.25">
      <c r="C147" s="140"/>
    </row>
  </sheetData>
  <sheetProtection algorithmName="SHA-512" hashValue="+uMkY0QK4HjVHVYSB+XRyAKpr8hcsD4aecYCvfkymZmNNjPgP3JhSkK7UzTHRzGL98qbS/cvUmJ7o74Jzkl06Q==" saltValue="LWVlsoucJHJFUl3mC0r+uQ==" spinCount="100000" sheet="1" objects="1" scenarios="1"/>
  <mergeCells count="134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Z102:AB102"/>
    <mergeCell ref="B107:E108"/>
    <mergeCell ref="AD107:AG108"/>
    <mergeCell ref="B110:E110"/>
    <mergeCell ref="G110:O110"/>
    <mergeCell ref="Q110:U110"/>
    <mergeCell ref="W110:X110"/>
    <mergeCell ref="C116:O117"/>
    <mergeCell ref="C122:AF127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</mergeCells>
  <conditionalFormatting sqref="B101">
    <cfRule type="expression" dxfId="201" priority="16">
      <formula>$A$101=1</formula>
    </cfRule>
  </conditionalFormatting>
  <conditionalFormatting sqref="B114">
    <cfRule type="expression" dxfId="200" priority="25">
      <formula>$BD$106=1</formula>
    </cfRule>
  </conditionalFormatting>
  <conditionalFormatting sqref="B5:E6">
    <cfRule type="cellIs" dxfId="199" priority="4" operator="equal">
      <formula>$E$2</formula>
    </cfRule>
  </conditionalFormatting>
  <conditionalFormatting sqref="B112:E112">
    <cfRule type="expression" dxfId="198" priority="23">
      <formula>$AY$112=1</formula>
    </cfRule>
  </conditionalFormatting>
  <conditionalFormatting sqref="C116:O117">
    <cfRule type="notContainsBlanks" dxfId="197" priority="13">
      <formula>LEN(TRIM(C116))&gt;0</formula>
    </cfRule>
  </conditionalFormatting>
  <conditionalFormatting sqref="G18">
    <cfRule type="notContainsBlanks" dxfId="196" priority="20">
      <formula>LEN(TRIM(G18))&gt;0</formula>
    </cfRule>
  </conditionalFormatting>
  <conditionalFormatting sqref="G29">
    <cfRule type="expression" dxfId="195" priority="64">
      <formula>ISNUMBER($G$27)</formula>
    </cfRule>
  </conditionalFormatting>
  <conditionalFormatting sqref="G73">
    <cfRule type="expression" dxfId="194" priority="12">
      <formula>$AM$60=2</formula>
    </cfRule>
  </conditionalFormatting>
  <conditionalFormatting sqref="G112">
    <cfRule type="expression" dxfId="193" priority="26">
      <formula>$AY$112=1</formula>
    </cfRule>
  </conditionalFormatting>
  <conditionalFormatting sqref="G114">
    <cfRule type="expression" dxfId="192" priority="24">
      <formula>$BD$106=1</formula>
    </cfRule>
  </conditionalFormatting>
  <conditionalFormatting sqref="G101:K101">
    <cfRule type="expression" dxfId="191" priority="15">
      <formula>$A$101=1</formula>
    </cfRule>
  </conditionalFormatting>
  <conditionalFormatting sqref="G20:O20">
    <cfRule type="notContainsBlanks" dxfId="190" priority="19">
      <formula>LEN(TRIM(G20))&gt;0</formula>
    </cfRule>
  </conditionalFormatting>
  <conditionalFormatting sqref="G30:O30">
    <cfRule type="notContainsBlanks" dxfId="188" priority="18">
      <formula>LEN(TRIM(G30))&gt;0</formula>
    </cfRule>
  </conditionalFormatting>
  <conditionalFormatting sqref="H5:L6">
    <cfRule type="cellIs" dxfId="186" priority="3" operator="equal">
      <formula>$E$2</formula>
    </cfRule>
  </conditionalFormatting>
  <conditionalFormatting sqref="I73:K73">
    <cfRule type="expression" dxfId="185" priority="11">
      <formula>$AM$60=2</formula>
    </cfRule>
  </conditionalFormatting>
  <conditionalFormatting sqref="K130:N130 R130:U130 W130:Z130 AC130">
    <cfRule type="expression" dxfId="184" priority="67">
      <formula>$AM$130=TRUE</formula>
    </cfRule>
  </conditionalFormatting>
  <conditionalFormatting sqref="M72">
    <cfRule type="expression" dxfId="183" priority="10">
      <formula>$AW$73=1</formula>
    </cfRule>
  </conditionalFormatting>
  <conditionalFormatting sqref="M73">
    <cfRule type="expression" dxfId="182" priority="8">
      <formula>$AW$74=1</formula>
    </cfRule>
  </conditionalFormatting>
  <conditionalFormatting sqref="M65:N65">
    <cfRule type="expression" dxfId="181" priority="58">
      <formula>AW63=1</formula>
    </cfRule>
  </conditionalFormatting>
  <conditionalFormatting sqref="N5:Q6">
    <cfRule type="cellIs" dxfId="180" priority="2" operator="equal">
      <formula>$E$2</formula>
    </cfRule>
  </conditionalFormatting>
  <conditionalFormatting sqref="O65">
    <cfRule type="expression" dxfId="179" priority="61">
      <formula>#REF!=1</formula>
    </cfRule>
  </conditionalFormatting>
  <conditionalFormatting sqref="O72:P72">
    <cfRule type="expression" dxfId="178" priority="9">
      <formula>$AW$73=1</formula>
    </cfRule>
  </conditionalFormatting>
  <conditionalFormatting sqref="O73:P73">
    <cfRule type="expression" dxfId="177" priority="7">
      <formula>$AW$74=1</formula>
    </cfRule>
  </conditionalFormatting>
  <conditionalFormatting sqref="P65:Q65">
    <cfRule type="expression" dxfId="176" priority="57">
      <formula>AW63=1</formula>
    </cfRule>
  </conditionalFormatting>
  <conditionalFormatting sqref="Q112">
    <cfRule type="expression" dxfId="174" priority="17">
      <formula>$AL$113=1</formula>
    </cfRule>
  </conditionalFormatting>
  <conditionalFormatting sqref="Q114">
    <cfRule type="expression" dxfId="173" priority="65">
      <formula>$BD$106=1</formula>
    </cfRule>
  </conditionalFormatting>
  <conditionalFormatting sqref="R65">
    <cfRule type="expression" dxfId="172" priority="62">
      <formula>#REF!=1</formula>
    </cfRule>
  </conditionalFormatting>
  <conditionalFormatting sqref="S62">
    <cfRule type="expression" dxfId="171" priority="53">
      <formula>$AS$66=1</formula>
    </cfRule>
  </conditionalFormatting>
  <conditionalFormatting sqref="S5:W6">
    <cfRule type="cellIs" dxfId="170" priority="1" operator="equal">
      <formula>$E$2</formula>
    </cfRule>
  </conditionalFormatting>
  <conditionalFormatting sqref="T60:T61">
    <cfRule type="expression" dxfId="169" priority="46">
      <formula>$AL$63=TRUE</formula>
    </cfRule>
  </conditionalFormatting>
  <conditionalFormatting sqref="T60:V60">
    <cfRule type="expression" dxfId="168" priority="47">
      <formula>$AL$63=TRUE</formula>
    </cfRule>
  </conditionalFormatting>
  <conditionalFormatting sqref="T62:AA62">
    <cfRule type="expression" dxfId="167" priority="60">
      <formula>$AL$63=TRUE</formula>
    </cfRule>
  </conditionalFormatting>
  <conditionalFormatting sqref="U60">
    <cfRule type="expression" dxfId="166" priority="40">
      <formula>$AM$60=2</formula>
    </cfRule>
  </conditionalFormatting>
  <conditionalFormatting sqref="V60:V61">
    <cfRule type="expression" dxfId="165" priority="39">
      <formula>$AM$60=2</formula>
    </cfRule>
  </conditionalFormatting>
  <conditionalFormatting sqref="W60">
    <cfRule type="expression" dxfId="164" priority="41">
      <formula>$AM$60=1</formula>
    </cfRule>
  </conditionalFormatting>
  <conditionalFormatting sqref="W62">
    <cfRule type="expression" dxfId="163" priority="56">
      <formula>$AM$60=2</formula>
    </cfRule>
    <cfRule type="expression" dxfId="162" priority="54">
      <formula>$AS$66=3</formula>
    </cfRule>
  </conditionalFormatting>
  <conditionalFormatting sqref="W112">
    <cfRule type="expression" dxfId="160" priority="14">
      <formula>$AL$113=1</formula>
    </cfRule>
  </conditionalFormatting>
  <conditionalFormatting sqref="W114">
    <cfRule type="expression" dxfId="159" priority="66">
      <formula>$BD$106=1</formula>
    </cfRule>
  </conditionalFormatting>
  <conditionalFormatting sqref="W60:AA60">
    <cfRule type="expression" dxfId="158" priority="42">
      <formula>$AM$60=1</formula>
    </cfRule>
  </conditionalFormatting>
  <conditionalFormatting sqref="X60:X61">
    <cfRule type="expression" dxfId="157" priority="36">
      <formula>$AM$60=2</formula>
    </cfRule>
  </conditionalFormatting>
  <conditionalFormatting sqref="X60:AA60">
    <cfRule type="expression" dxfId="156" priority="37">
      <formula>$AM$60=2</formula>
    </cfRule>
  </conditionalFormatting>
  <conditionalFormatting sqref="Y60">
    <cfRule type="expression" dxfId="155" priority="48">
      <formula>$AM$60=2</formula>
    </cfRule>
  </conditionalFormatting>
  <conditionalFormatting sqref="Z112:AE112">
    <cfRule type="expression" dxfId="154" priority="6">
      <formula>$AL$132=1</formula>
    </cfRule>
  </conditionalFormatting>
  <conditionalFormatting sqref="AA60:AA61">
    <cfRule type="expression" dxfId="153" priority="35">
      <formula>$AM$60=2</formula>
    </cfRule>
    <cfRule type="expression" dxfId="152" priority="45">
      <formula>$AM$60=1</formula>
    </cfRule>
  </conditionalFormatting>
  <conditionalFormatting sqref="AA63:AA74">
    <cfRule type="expression" dxfId="151" priority="59">
      <formula>$AL$64=1</formula>
    </cfRule>
  </conditionalFormatting>
  <conditionalFormatting sqref="AA68">
    <cfRule type="expression" dxfId="150" priority="49">
      <formula>$AS$66=6</formula>
    </cfRule>
    <cfRule type="expression" dxfId="149" priority="55">
      <formula>$AN$66=2</formula>
    </cfRule>
  </conditionalFormatting>
  <conditionalFormatting sqref="AA75">
    <cfRule type="expression" dxfId="148" priority="51">
      <formula>$AS$66=5</formula>
    </cfRule>
  </conditionalFormatting>
  <conditionalFormatting sqref="AB61">
    <cfRule type="expression" dxfId="147" priority="50">
      <formula>$AS$66=4</formula>
    </cfRule>
  </conditionalFormatting>
  <conditionalFormatting sqref="AB62">
    <cfRule type="expression" dxfId="146" priority="52">
      <formula>$AS$66=2</formula>
    </cfRule>
  </conditionalFormatting>
  <conditionalFormatting sqref="AB62:AC62">
    <cfRule type="expression" dxfId="145" priority="38">
      <formula>$AL$64=1</formula>
    </cfRule>
  </conditionalFormatting>
  <conditionalFormatting sqref="AB67:AC67">
    <cfRule type="expression" dxfId="144" priority="33">
      <formula>$AM$61=2</formula>
    </cfRule>
  </conditionalFormatting>
  <conditionalFormatting sqref="AB69:AC69">
    <cfRule type="expression" dxfId="143" priority="44">
      <formula>$AM$61=2</formula>
    </cfRule>
  </conditionalFormatting>
  <conditionalFormatting sqref="AB74:AC74">
    <cfRule type="expression" dxfId="142" priority="43">
      <formula>$AL$64=1</formula>
    </cfRule>
  </conditionalFormatting>
  <conditionalFormatting sqref="AC62:AC67">
    <cfRule type="expression" dxfId="141" priority="32">
      <formula>$AM$61=1</formula>
    </cfRule>
    <cfRule type="expression" dxfId="140" priority="34">
      <formula>$AM$61=2</formula>
    </cfRule>
  </conditionalFormatting>
  <conditionalFormatting sqref="AC68">
    <cfRule type="expression" dxfId="139" priority="31">
      <formula>$AM$61=1</formula>
    </cfRule>
  </conditionalFormatting>
  <conditionalFormatting sqref="AC69:AC74">
    <cfRule type="expression" dxfId="138" priority="30">
      <formula>$AL$64=1</formula>
    </cfRule>
  </conditionalFormatting>
  <conditionalFormatting sqref="AC71:AC72">
    <cfRule type="expression" dxfId="137" priority="29">
      <formula>$AM$61=2</formula>
    </cfRule>
  </conditionalFormatting>
  <conditionalFormatting sqref="AG112">
    <cfRule type="expression" dxfId="136" priority="5">
      <formula>$AL$132=1</formula>
    </cfRule>
  </conditionalFormatting>
  <dataValidations count="22">
    <dataValidation type="list" allowBlank="1" showInputMessage="1" showErrorMessage="1" sqref="G65:K65" xr:uid="{05D2762D-E103-4EEB-ACBA-8443F7F13292}">
      <formula1>$AL$38:$AL$39</formula1>
    </dataValidation>
    <dataValidation type="list" allowBlank="1" showInputMessage="1" showErrorMessage="1" sqref="G63:K63" xr:uid="{AEFF68AC-893C-4B78-82E8-7AEB9E015E4E}">
      <formula1>$AL$36:$AL$37</formula1>
    </dataValidation>
    <dataValidation type="whole" allowBlank="1" showInputMessage="1" showErrorMessage="1" sqref="G130:I130" xr:uid="{A91DFF93-3A66-4CBD-B603-11092D361458}">
      <formula1>1</formula1>
      <formula2>999</formula2>
    </dataValidation>
    <dataValidation type="list" allowBlank="1" showInputMessage="1" showErrorMessage="1" sqref="AG112" xr:uid="{1FA85329-DB3C-47C0-A574-B617CE50525D}">
      <formula1>$AM$132:$AM$133</formula1>
    </dataValidation>
    <dataValidation type="list" showInputMessage="1" showErrorMessage="1" sqref="W112:X112" xr:uid="{BE916A7C-7EF1-498F-8A24-A08C16D77D27}">
      <formula1>$AL$129:$AL$130</formula1>
    </dataValidation>
    <dataValidation type="list" allowBlank="1" showInputMessage="1" showErrorMessage="1" sqref="W114" xr:uid="{339ED4D6-E491-429A-AA78-E57B68773C31}">
      <formula1>$BC$111:$BC$112</formula1>
    </dataValidation>
    <dataValidation type="list" allowBlank="1" showInputMessage="1" showErrorMessage="1" sqref="G114" xr:uid="{F10C97A6-B1C6-47A1-A731-340DCA6D18C3}">
      <formula1>$BC$105:$BC$107</formula1>
    </dataValidation>
    <dataValidation type="list" allowBlank="1" showInputMessage="1" showErrorMessage="1" sqref="W110" xr:uid="{AF137624-E46A-4DF3-9D38-6EE65CA9C040}">
      <formula1>$AT$106:$AT$107</formula1>
    </dataValidation>
    <dataValidation type="list" allowBlank="1" showInputMessage="1" showErrorMessage="1" sqref="G34" xr:uid="{41DDE130-7151-4AAD-B0AA-A4DC7BA1257C}">
      <formula1>$AT$27:$AT$30</formula1>
    </dataValidation>
    <dataValidation type="list" allowBlank="1" showInputMessage="1" showErrorMessage="1" sqref="G21" xr:uid="{06825A70-9247-4F6A-96EC-A5FD38836EEB}">
      <formula1>$AT$22:$AT$25</formula1>
    </dataValidation>
    <dataValidation type="list" allowBlank="1" showInputMessage="1" showErrorMessage="1" sqref="F35 G25:G26" xr:uid="{73A53583-47FF-4819-BD32-B7EF6ED87D3A}">
      <formula1>$AO$27:$AO$28</formula1>
    </dataValidation>
    <dataValidation type="list" allowBlank="1" showInputMessage="1" showErrorMessage="1" sqref="G31" xr:uid="{AF52EE80-1541-469C-AC73-C94FFE757073}">
      <formula1>INDIRECT($AN$25)</formula1>
    </dataValidation>
    <dataValidation type="list" allowBlank="1" showInputMessage="1" showErrorMessage="1" sqref="G17" xr:uid="{8FDC3E93-84E5-4C4E-8208-9561E18B0CDC}">
      <formula1>$AO$19:$AO$21</formula1>
    </dataValidation>
    <dataValidation type="list" allowBlank="1" showInputMessage="1" showErrorMessage="1" sqref="G19" xr:uid="{5F35F806-5CEC-431D-89C8-151AAF0DF4E4}">
      <formula1>INDIRECT(AO15)</formula1>
    </dataValidation>
    <dataValidation type="whole" allowBlank="1" showInputMessage="1" showErrorMessage="1" sqref="G36 G23:O23 G27:O27" xr:uid="{F1F0E1F2-E544-4C8C-8656-7E8975ABF1A4}">
      <formula1>1</formula1>
      <formula2>1000</formula2>
    </dataValidation>
    <dataValidation type="list" allowBlank="1" showInputMessage="1" showErrorMessage="1" sqref="G98 Q98:T98" xr:uid="{DAE657F2-4EF4-433C-8555-C84C7B3E01C8}">
      <formula1>$AM$101:$AM$103</formula1>
    </dataValidation>
    <dataValidation type="list" allowBlank="1" showInputMessage="1" showErrorMessage="1" sqref="G95" xr:uid="{E83C4EBC-B7E8-42F4-89F6-0038FE58A970}">
      <formula1>INDIRECT($AM$90)</formula1>
    </dataValidation>
    <dataValidation type="list" allowBlank="1" showInputMessage="1" showErrorMessage="1" sqref="G93" xr:uid="{AE973688-AC5A-45C1-B090-4FFCF24A0909}">
      <formula1>INDIRECT($AM$95)</formula1>
    </dataValidation>
    <dataValidation type="list" allowBlank="1" showInputMessage="1" showErrorMessage="1" sqref="G91" xr:uid="{FFECA5B8-ACA4-4D3C-9BCE-5851CE2AE7B3}">
      <formula1>$AM$85:$AM$87</formula1>
    </dataValidation>
    <dataValidation type="list" allowBlank="1" showInputMessage="1" showErrorMessage="1" sqref="G89" xr:uid="{4480BA43-01E1-43C7-A359-26D1B6A8C5CE}">
      <formula1>"12V,24V"</formula1>
    </dataValidation>
    <dataValidation type="list" allowBlank="1" showInputMessage="1" showErrorMessage="1" sqref="P65:Q65" xr:uid="{1871122F-888B-48D3-AD59-D56C6682F2C4}">
      <formula1>$AL$71:$AL$72</formula1>
    </dataValidation>
    <dataValidation type="list" allowBlank="1" showInputMessage="1" showErrorMessage="1" sqref="G67:K67" xr:uid="{12C0AC80-8871-43AF-99A2-C892EEDF0366}">
      <formula1>$AL$71:$AL$74</formula1>
    </dataValidation>
  </dataValidations>
  <hyperlinks>
    <hyperlink ref="Z2:AB3" location="Úvod!A1" display="Úvod!A1" xr:uid="{EEDAE1CC-80A4-4875-86C3-EE144CB0D797}"/>
    <hyperlink ref="AD107:AG108" location="Ovlad!A1" display="Ovlad!A1" xr:uid="{EFBD9B9C-129A-46B4-8532-B8C8A4AED151}"/>
    <hyperlink ref="K130:N130" location="souhrn!A1" display="souhrn!A1" xr:uid="{9DFDE336-05E2-44F1-8B61-38B12C0E7ABA}"/>
    <hyperlink ref="R130:U130" location="Sestava1!A1" display="Sestava1!A1" xr:uid="{9B8E3ED9-3804-48E9-BE4C-CF884CF9F5E4}"/>
    <hyperlink ref="W130:Z130" location="Sestava3!A1" display="Sestava3!A1" xr:uid="{F4714E1B-F859-4183-BC78-491BBF441374}"/>
    <hyperlink ref="AC130:AF130" location="Sestava4!A1" display="Sestava4!A1" xr:uid="{EFE8F674-D7A5-491F-ADAB-256CC1960CD2}"/>
    <hyperlink ref="B5:E6" location="Sestava1!A1" display="Sestava1!A1" xr:uid="{6883C3B0-5A63-4894-878E-476CC19091F6}"/>
    <hyperlink ref="H5:L6" location="Sestava2!A1" display="Sestava2!A1" xr:uid="{47223507-3515-48EF-AF2B-ADB786F939CD}"/>
    <hyperlink ref="N5:Q6" location="Sestava3!A1" display="Sestava3!A1" xr:uid="{9DCA73DA-392B-4CFC-8983-0CC653D83949}"/>
    <hyperlink ref="S5:W6" location="Sestava4!A1" display="Sestava4!A1" xr:uid="{D2E60C5F-B18A-4DDD-A335-BED175A8502B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3" id="{4144CF21-5D34-44C0-BC9C-5486CF263F5F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B17 G17 B19 G19 B21 G21 B23 G25 B25:B27 E26:G26 G27 B31 G31 G34 B34:B36 E35:F35 AK46 J53:K53</xm:sqref>
        </x14:conditionalFormatting>
        <x14:conditionalFormatting xmlns:xm="http://schemas.microsoft.com/office/excel/2006/main">
          <x14:cfRule type="expression" priority="22" id="{E03B3E73-01E9-4CF5-935D-0A5F44F7ECDC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21" id="{57FA3CAC-D5A0-4A03-8BCE-E892014B8A46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28" id="{C52C45ED-3945-4A21-BB1F-7B323693594D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27" id="{7C917FDB-EF0D-4ED4-A749-8DBAFB506BAE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3ED2F01-3344-4030-A670-A1B67F642B4D}">
          <x14:formula1>
            <xm:f>Překlady!$C$15:$C$16</xm:f>
          </x14:formula1>
          <xm:sqref>G101:K101</xm:sqref>
        </x14:dataValidation>
        <x14:dataValidation type="list" allowBlank="1" showInputMessage="1" showErrorMessage="1" xr:uid="{4263AB1F-F20E-4A15-9188-C1E7DA4A6B9C}">
          <x14:formula1>
            <xm:f>Překlady!$C$106:$C$108</xm:f>
          </x14:formula1>
          <xm:sqref>G38:O38</xm:sqref>
        </x14:dataValidation>
        <x14:dataValidation type="list" allowBlank="1" showInputMessage="1" showErrorMessage="1" xr:uid="{ACAE58FE-3A28-4A23-9316-BB246F81E688}">
          <x14:formula1>
            <xm:f>Překlady!$C$85:$C$88</xm:f>
          </x14:formula1>
          <xm:sqref>G110</xm:sqref>
        </x14:dataValidation>
        <x14:dataValidation type="list" allowBlank="1" showInputMessage="1" showErrorMessage="1" xr:uid="{87165FE5-DED5-41FD-9086-3DC906F1D03A}">
          <x14:formula1>
            <xm:f>Překlady!$C$42:$C$45</xm:f>
          </x14:formula1>
          <xm:sqref>G15</xm:sqref>
        </x14:dataValidation>
        <x14:dataValidation type="list" allowBlank="1" showInputMessage="1" showErrorMessage="1" xr:uid="{51945336-BB22-4C1E-83A1-544AA58FD6D9}">
          <x14:formula1>
            <xm:f>'data-zál'!$B$3:$B$4</xm:f>
          </x14:formula1>
          <xm:sqref>G69:K69</xm:sqref>
        </x14:dataValidation>
        <x14:dataValidation type="list" allowBlank="1" showInputMessage="1" showErrorMessage="1" xr:uid="{28219A20-22D3-4365-9A12-CD583594F93E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44D2-6822-4A62-8B7C-A6BE696150A2}">
  <sheetPr>
    <tabColor theme="6" tint="0.59999389629810485"/>
  </sheetPr>
  <dimension ref="A1:BT108"/>
  <sheetViews>
    <sheetView topLeftCell="A81" workbookViewId="0">
      <selection activeCell="A57" sqref="A57:D108"/>
    </sheetView>
  </sheetViews>
  <sheetFormatPr defaultRowHeight="15" x14ac:dyDescent="0.25"/>
  <cols>
    <col min="2" max="2" width="48.7109375" customWidth="1"/>
    <col min="3" max="3" width="12.5703125" customWidth="1"/>
    <col min="4" max="4" width="21" customWidth="1"/>
    <col min="5" max="5" width="10.42578125" bestFit="1" customWidth="1"/>
    <col min="7" max="7" width="10.140625" bestFit="1" customWidth="1"/>
    <col min="8" max="8" width="10.5703125" customWidth="1"/>
    <col min="9" max="9" width="11" customWidth="1"/>
    <col min="10" max="10" width="9.140625" customWidth="1"/>
    <col min="11" max="11" width="11.140625" customWidth="1"/>
    <col min="12" max="12" width="10.7109375" customWidth="1"/>
    <col min="13" max="13" width="10.85546875" customWidth="1"/>
    <col min="14" max="14" width="10.42578125" customWidth="1"/>
    <col min="19" max="19" width="11" customWidth="1"/>
    <col min="22" max="22" width="10.140625" bestFit="1" customWidth="1"/>
    <col min="25" max="25" width="14.85546875" customWidth="1"/>
    <col min="27" max="28" width="7" bestFit="1" customWidth="1"/>
    <col min="60" max="61" width="10.140625" bestFit="1" customWidth="1"/>
    <col min="62" max="62" width="12" customWidth="1"/>
    <col min="63" max="64" width="10.140625" bestFit="1" customWidth="1"/>
  </cols>
  <sheetData>
    <row r="1" spans="2:72" ht="15.75" thickBot="1" x14ac:dyDescent="0.3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 t="e">
        <f>IF(AG23&gt;0,MAX($I$1:AF1)+1,0)</f>
        <v>#REF!</v>
      </c>
      <c r="AH1" t="e">
        <f>IF(AH23&gt;0,MAX($I$1:AG1)+1,0)</f>
        <v>#REF!</v>
      </c>
      <c r="AI1" t="e">
        <f>IF(AI23&gt;0,MAX($I$1:AH1)+1,0)</f>
        <v>#REF!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 t="e">
        <f>IF(AY23&gt;0,MAX($I$1:AX1)+1,0)</f>
        <v>#REF!</v>
      </c>
      <c r="AZ1" t="e">
        <f>IF(AZ23&gt;0,MAX($I$1:AY1)+1,0)</f>
        <v>#REF!</v>
      </c>
      <c r="BA1" t="e">
        <f>IF(BA23&gt;0,MAX($I$1:AZ1)+1,0)</f>
        <v>#REF!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</row>
    <row r="2" spans="2:72" ht="59.25" customHeight="1" x14ac:dyDescent="0.25">
      <c r="Y2" s="327" t="str">
        <f>Produkty!B214</f>
        <v>StrongLumio přijímač/rozvaděč pro bezdrátové samonapájecí vypínače 12/24V</v>
      </c>
      <c r="Z2" s="340" t="s">
        <v>5833</v>
      </c>
      <c r="AA2" s="327" t="str">
        <f>Produkty!B214</f>
        <v>StrongLumio přijímač/rozvaděč pro bezdrátové samonapájecí vypínače 12/24V</v>
      </c>
      <c r="AB2" s="335"/>
      <c r="AC2" s="338" t="s">
        <v>5834</v>
      </c>
      <c r="AD2" s="327" t="str">
        <f>Produkty!B215</f>
        <v>StrongLumio přijímač pro bezdrátové samonapájecí vypínače 12/24V (Wi-fi)</v>
      </c>
      <c r="AE2" s="335"/>
      <c r="AF2" s="338" t="s">
        <v>5833</v>
      </c>
      <c r="AG2" s="327" t="e">
        <f>Produkty!#REF!</f>
        <v>#REF!</v>
      </c>
      <c r="AH2" s="335"/>
      <c r="AI2" s="338" t="s">
        <v>5834</v>
      </c>
      <c r="AJ2" s="327" t="str">
        <f>Produkty!B220</f>
        <v>StrongLumio dálkový ovladač RF univerzální 2 v 1</v>
      </c>
      <c r="AK2" s="335"/>
      <c r="AL2" s="338" t="s">
        <v>5833</v>
      </c>
      <c r="AM2" s="327" t="str">
        <f>Produkty!B220</f>
        <v>StrongLumio dálkový ovladač RF univerzální 2 v 1</v>
      </c>
      <c r="AN2" s="335"/>
      <c r="AO2" s="338" t="s">
        <v>5834</v>
      </c>
      <c r="AP2" s="327" t="str">
        <f>Produkty!B221</f>
        <v>StrongLumio dálkový ovladač otočný DIM/CCT/RGB/RGBW - 1 zóna</v>
      </c>
      <c r="AQ2" s="335"/>
      <c r="AR2" s="338" t="s">
        <v>5833</v>
      </c>
      <c r="AS2" s="327" t="str">
        <f>Produkty!B221</f>
        <v>StrongLumio dálkový ovladač otočný DIM/CCT/RGB/RGBW - 1 zóna</v>
      </c>
      <c r="AT2" s="335"/>
      <c r="AU2" s="338" t="s">
        <v>5834</v>
      </c>
      <c r="AV2" s="327" t="str">
        <f>Produkty!B222</f>
        <v>StrongLumio Power dálkový ovladač/stmívač 1x25A</v>
      </c>
      <c r="AW2" s="335"/>
      <c r="AX2" s="338" t="s">
        <v>5833</v>
      </c>
      <c r="AY2" s="327" t="e">
        <f>Produkty!#REF!</f>
        <v>#REF!</v>
      </c>
      <c r="AZ2" s="335"/>
      <c r="BA2" s="352" t="s">
        <v>5834</v>
      </c>
      <c r="BB2" s="343" t="str">
        <f>Produkty!B223</f>
        <v>StrongLumio RF dálkový vypínač/stmívač 12V/24V</v>
      </c>
      <c r="BC2" s="344"/>
      <c r="BD2" s="347" t="s">
        <v>5833</v>
      </c>
      <c r="BE2" s="338"/>
      <c r="BF2" s="343" t="str">
        <f>Produkty!B223</f>
        <v>StrongLumio RF dálkový vypínač/stmívač 12V/24V</v>
      </c>
      <c r="BG2" s="344"/>
      <c r="BH2" s="347" t="s">
        <v>5834</v>
      </c>
      <c r="BI2" s="338"/>
      <c r="BJ2" s="349" t="str">
        <f>Produkty!B224</f>
        <v>StrongLumio RF dálkový ovladač/stmívač 12V/24V 1 zóna</v>
      </c>
      <c r="BK2" s="354" t="s">
        <v>5833</v>
      </c>
      <c r="BL2" s="343" t="str">
        <f>Produkty!B224</f>
        <v>StrongLumio RF dálkový ovladač/stmívač 12V/24V 1 zóna</v>
      </c>
      <c r="BM2" s="344"/>
      <c r="BN2" s="338" t="s">
        <v>5834</v>
      </c>
      <c r="BO2" s="349" t="str">
        <f>Produkty!B225</f>
        <v>StrongLumio bezdrátový nabíjecí dotykový vypínač/stmívač</v>
      </c>
      <c r="BP2" s="352" t="s">
        <v>5833</v>
      </c>
      <c r="BQ2" s="343" t="str">
        <f>Produkty!D225</f>
        <v>StrongLumio bezdrátový nabíjecí dotykový vypínač/stmívač</v>
      </c>
      <c r="BR2" s="344"/>
      <c r="BS2" s="338" t="s">
        <v>5834</v>
      </c>
    </row>
    <row r="3" spans="2:72" ht="15.75" thickBot="1" x14ac:dyDescent="0.3">
      <c r="D3" s="31" t="s">
        <v>5799</v>
      </c>
      <c r="E3" t="str">
        <f>IF(OR(Sestava2!G21=Sestava2!I72,Sestava2!G21=Sestava2!I73,Sestava2!G21=Sestava2!O72,Sestava2!G21=Sestava2!O73),"ano","ne")</f>
        <v>ano</v>
      </c>
      <c r="H3" t="s">
        <v>6939</v>
      </c>
      <c r="X3" s="325" t="s">
        <v>5832</v>
      </c>
      <c r="Y3" s="328"/>
      <c r="Z3" s="341"/>
      <c r="AA3" s="328"/>
      <c r="AB3" s="336"/>
      <c r="AC3" s="339"/>
      <c r="AD3" s="328"/>
      <c r="AE3" s="336"/>
      <c r="AF3" s="339"/>
      <c r="AG3" s="328"/>
      <c r="AH3" s="336"/>
      <c r="AI3" s="339"/>
      <c r="AJ3" s="328"/>
      <c r="AK3" s="336"/>
      <c r="AL3" s="339"/>
      <c r="AM3" s="328"/>
      <c r="AN3" s="336"/>
      <c r="AO3" s="339"/>
      <c r="AP3" s="328"/>
      <c r="AQ3" s="336"/>
      <c r="AR3" s="339"/>
      <c r="AS3" s="328"/>
      <c r="AT3" s="336"/>
      <c r="AU3" s="339"/>
      <c r="AV3" s="328"/>
      <c r="AW3" s="336"/>
      <c r="AX3" s="339"/>
      <c r="AY3" s="328"/>
      <c r="AZ3" s="336"/>
      <c r="BA3" s="353"/>
      <c r="BB3" s="345"/>
      <c r="BC3" s="346"/>
      <c r="BD3" s="348"/>
      <c r="BE3" s="339"/>
      <c r="BF3" s="345"/>
      <c r="BG3" s="346"/>
      <c r="BH3" s="348"/>
      <c r="BI3" s="339"/>
      <c r="BJ3" s="350"/>
      <c r="BK3" s="355"/>
      <c r="BL3" s="345"/>
      <c r="BM3" s="346"/>
      <c r="BN3" s="339"/>
      <c r="BO3" s="350"/>
      <c r="BP3" s="353"/>
      <c r="BQ3" s="345"/>
      <c r="BR3" s="346"/>
      <c r="BS3" s="339"/>
    </row>
    <row r="4" spans="2:72" ht="15.75" thickBot="1" x14ac:dyDescent="0.3">
      <c r="G4" s="334" t="str">
        <f>Překlady!C85</f>
        <v>v profilu</v>
      </c>
      <c r="H4" s="324"/>
      <c r="L4" s="27"/>
      <c r="X4" s="325"/>
      <c r="Y4" s="328"/>
      <c r="Z4" s="341"/>
      <c r="AA4" s="328"/>
      <c r="AB4" s="336"/>
      <c r="AC4" s="339"/>
      <c r="AD4" s="328"/>
      <c r="AE4" s="336"/>
      <c r="AF4" s="339"/>
      <c r="AG4" s="328"/>
      <c r="AH4" s="336"/>
      <c r="AI4" s="339"/>
      <c r="AJ4" s="328"/>
      <c r="AK4" s="336"/>
      <c r="AL4" s="339"/>
      <c r="AM4" s="328"/>
      <c r="AN4" s="336"/>
      <c r="AO4" s="339"/>
      <c r="AP4" s="328"/>
      <c r="AQ4" s="336"/>
      <c r="AR4" s="339"/>
      <c r="AS4" s="328"/>
      <c r="AT4" s="336"/>
      <c r="AU4" s="339"/>
      <c r="AV4" s="328"/>
      <c r="AW4" s="336"/>
      <c r="AX4" s="339"/>
      <c r="AY4" s="328"/>
      <c r="AZ4" s="336"/>
      <c r="BA4" s="353"/>
      <c r="BB4" s="345"/>
      <c r="BC4" s="346"/>
      <c r="BD4" s="348"/>
      <c r="BE4" s="339"/>
      <c r="BF4" s="345"/>
      <c r="BG4" s="346"/>
      <c r="BH4" s="348"/>
      <c r="BI4" s="339"/>
      <c r="BJ4" s="350"/>
      <c r="BK4" s="355"/>
      <c r="BL4" s="345"/>
      <c r="BM4" s="346"/>
      <c r="BN4" s="339"/>
      <c r="BO4" s="350"/>
      <c r="BP4" s="353"/>
      <c r="BQ4" s="345"/>
      <c r="BR4" s="346"/>
      <c r="BS4" s="339"/>
    </row>
    <row r="5" spans="2:72" x14ac:dyDescent="0.25">
      <c r="B5" s="46" t="str">
        <f>CONCATENATE(Sestava2!G63,"_",Sestava2!G65,"_",Sestava2!G67,"_",Sestava2!P65)</f>
        <v>___</v>
      </c>
      <c r="C5" s="330" t="s">
        <v>5824</v>
      </c>
      <c r="D5" s="330"/>
      <c r="E5" s="76" t="s">
        <v>5796</v>
      </c>
      <c r="F5" s="136" t="s">
        <v>5797</v>
      </c>
      <c r="G5" s="138" t="s">
        <v>6803</v>
      </c>
      <c r="H5" s="135" t="s">
        <v>6804</v>
      </c>
      <c r="I5" s="331" t="str">
        <f>Překlady!C88</f>
        <v>vlastní vypínač na zdi</v>
      </c>
      <c r="J5" s="331"/>
      <c r="K5" s="331"/>
      <c r="L5" s="332"/>
      <c r="M5" s="75" t="str">
        <f>Překlady!C85</f>
        <v>v profilu</v>
      </c>
      <c r="N5" s="333" t="s">
        <v>5831</v>
      </c>
      <c r="O5" s="332"/>
      <c r="P5" s="72" t="str">
        <f>Překlady!C85</f>
        <v>v profilu</v>
      </c>
      <c r="Q5" s="134" t="s">
        <v>5832</v>
      </c>
      <c r="R5" s="134"/>
      <c r="S5" s="72" t="str">
        <f>Překlady!C86</f>
        <v>mimo profil</v>
      </c>
      <c r="T5" s="323" t="s">
        <v>5831</v>
      </c>
      <c r="U5" s="323"/>
      <c r="V5" s="324"/>
      <c r="W5" s="72" t="str">
        <f>Překlady!C86</f>
        <v>mimo profil</v>
      </c>
      <c r="X5" s="326"/>
      <c r="Y5" s="329"/>
      <c r="Z5" s="342"/>
      <c r="AA5" s="329"/>
      <c r="AB5" s="337"/>
      <c r="AC5" s="339"/>
      <c r="AD5" s="329"/>
      <c r="AE5" s="337"/>
      <c r="AF5" s="339"/>
      <c r="AG5" s="329"/>
      <c r="AH5" s="337"/>
      <c r="AI5" s="339"/>
      <c r="AJ5" s="329"/>
      <c r="AK5" s="337"/>
      <c r="AL5" s="339"/>
      <c r="AM5" s="329"/>
      <c r="AN5" s="337"/>
      <c r="AO5" s="339"/>
      <c r="AP5" s="329"/>
      <c r="AQ5" s="337"/>
      <c r="AR5" s="339"/>
      <c r="AS5" s="329"/>
      <c r="AT5" s="337"/>
      <c r="AU5" s="339"/>
      <c r="AV5" s="329"/>
      <c r="AW5" s="337"/>
      <c r="AX5" s="339"/>
      <c r="AY5" s="329"/>
      <c r="AZ5" s="337"/>
      <c r="BA5" s="353"/>
      <c r="BB5" s="345"/>
      <c r="BC5" s="346"/>
      <c r="BD5" s="348"/>
      <c r="BE5" s="339"/>
      <c r="BF5" s="345"/>
      <c r="BG5" s="346"/>
      <c r="BH5" s="348"/>
      <c r="BI5" s="339"/>
      <c r="BJ5" s="351"/>
      <c r="BK5" s="356"/>
      <c r="BL5" s="345"/>
      <c r="BM5" s="346"/>
      <c r="BN5" s="339"/>
      <c r="BO5" s="351"/>
      <c r="BP5" s="353"/>
      <c r="BQ5" s="345"/>
      <c r="BR5" s="346"/>
      <c r="BS5" s="339"/>
    </row>
    <row r="6" spans="2:72" ht="15.75" customHeight="1" thickBot="1" x14ac:dyDescent="0.3">
      <c r="B6" s="46" t="s">
        <v>5795</v>
      </c>
      <c r="C6" s="27" t="s">
        <v>5825</v>
      </c>
      <c r="D6" s="27" t="s">
        <v>5826</v>
      </c>
      <c r="E6" s="80" t="s">
        <v>5846</v>
      </c>
      <c r="F6" s="137" t="s">
        <v>5842</v>
      </c>
      <c r="G6" s="320" t="s">
        <v>5842</v>
      </c>
      <c r="H6" s="321"/>
      <c r="I6" s="81" t="s">
        <v>5321</v>
      </c>
      <c r="J6" s="82" t="s">
        <v>5329</v>
      </c>
      <c r="K6" s="82" t="s">
        <v>5193</v>
      </c>
      <c r="L6" s="83" t="s">
        <v>5341</v>
      </c>
      <c r="M6" s="81" t="s">
        <v>5321</v>
      </c>
      <c r="N6" s="82" t="s">
        <v>5329</v>
      </c>
      <c r="O6" s="82" t="s">
        <v>5193</v>
      </c>
      <c r="P6" s="84" t="s">
        <v>5329</v>
      </c>
      <c r="Q6" s="85" t="s">
        <v>5341</v>
      </c>
      <c r="R6" s="82" t="s">
        <v>5193</v>
      </c>
      <c r="S6" s="84" t="s">
        <v>5321</v>
      </c>
      <c r="T6" s="82" t="s">
        <v>5329</v>
      </c>
      <c r="U6" s="82" t="s">
        <v>5340</v>
      </c>
      <c r="V6" s="82" t="s">
        <v>5193</v>
      </c>
      <c r="W6" s="84" t="s">
        <v>5341</v>
      </c>
      <c r="X6" s="86" t="s">
        <v>5329</v>
      </c>
      <c r="Y6" s="84" t="s">
        <v>5329</v>
      </c>
      <c r="Z6" s="86" t="s">
        <v>5193</v>
      </c>
      <c r="AA6" s="83" t="s">
        <v>5459</v>
      </c>
      <c r="AB6" s="84" t="s">
        <v>5329</v>
      </c>
      <c r="AC6" s="83" t="s">
        <v>5193</v>
      </c>
      <c r="AD6" s="83" t="s">
        <v>5333</v>
      </c>
      <c r="AE6" s="84" t="s">
        <v>4890</v>
      </c>
      <c r="AF6" s="83" t="s">
        <v>5193</v>
      </c>
      <c r="AG6" s="84" t="s">
        <v>4890</v>
      </c>
      <c r="AH6" s="84" t="s">
        <v>5134</v>
      </c>
      <c r="AI6" s="83" t="s">
        <v>5193</v>
      </c>
      <c r="AJ6" s="84" t="s">
        <v>5333</v>
      </c>
      <c r="AK6" s="84" t="s">
        <v>4890</v>
      </c>
      <c r="AL6" s="83" t="s">
        <v>5193</v>
      </c>
      <c r="AM6" s="84" t="s">
        <v>4890</v>
      </c>
      <c r="AN6" s="84" t="s">
        <v>5134</v>
      </c>
      <c r="AO6" s="83" t="s">
        <v>5193</v>
      </c>
      <c r="AP6" s="84" t="s">
        <v>5333</v>
      </c>
      <c r="AQ6" s="84" t="s">
        <v>4890</v>
      </c>
      <c r="AR6" s="83" t="s">
        <v>5193</v>
      </c>
      <c r="AS6" s="84" t="s">
        <v>4890</v>
      </c>
      <c r="AT6" s="84" t="s">
        <v>5134</v>
      </c>
      <c r="AU6" s="83" t="s">
        <v>5193</v>
      </c>
      <c r="AV6" s="84" t="s">
        <v>5333</v>
      </c>
      <c r="AW6" s="84" t="s">
        <v>4890</v>
      </c>
      <c r="AX6" s="83" t="s">
        <v>5193</v>
      </c>
      <c r="AY6" s="84" t="s">
        <v>4890</v>
      </c>
      <c r="AZ6" s="84" t="s">
        <v>5134</v>
      </c>
      <c r="BA6" s="86" t="s">
        <v>5193</v>
      </c>
      <c r="BB6" s="84" t="s">
        <v>5321</v>
      </c>
      <c r="BC6" s="82" t="s">
        <v>5329</v>
      </c>
      <c r="BD6" s="82" t="s">
        <v>5193</v>
      </c>
      <c r="BE6" s="83" t="s">
        <v>5341</v>
      </c>
      <c r="BF6" s="84" t="s">
        <v>5321</v>
      </c>
      <c r="BG6" s="82" t="s">
        <v>5329</v>
      </c>
      <c r="BH6" s="82" t="s">
        <v>5193</v>
      </c>
      <c r="BI6" s="83" t="s">
        <v>5459</v>
      </c>
      <c r="BJ6" s="84" t="s">
        <v>4890</v>
      </c>
      <c r="BK6" s="86" t="s">
        <v>5193</v>
      </c>
      <c r="BL6" s="84" t="s">
        <v>4890</v>
      </c>
      <c r="BM6" s="82" t="s">
        <v>5459</v>
      </c>
      <c r="BN6" s="83" t="s">
        <v>5193</v>
      </c>
      <c r="BO6" s="84" t="s">
        <v>5329</v>
      </c>
      <c r="BP6" s="86" t="s">
        <v>5193</v>
      </c>
      <c r="BQ6" s="84" t="s">
        <v>5459</v>
      </c>
      <c r="BR6" s="82" t="s">
        <v>5329</v>
      </c>
      <c r="BS6" s="83" t="s">
        <v>5193</v>
      </c>
    </row>
    <row r="7" spans="2:72" x14ac:dyDescent="0.25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22">
        <f>IF(AND(Sestava2!$G$110=G4,Sestava2!$W$112=1),1,0)</f>
        <v>0</v>
      </c>
      <c r="H7" s="322">
        <f>IF(AND(Sestava2!$G$110=G4,Sestava2!$W$112=2),2,0)</f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1</v>
      </c>
      <c r="AK7">
        <v>2</v>
      </c>
      <c r="AL7">
        <v>0</v>
      </c>
      <c r="AM7">
        <v>0</v>
      </c>
      <c r="AN7">
        <v>0</v>
      </c>
      <c r="AO7">
        <v>0</v>
      </c>
      <c r="AP7">
        <v>1</v>
      </c>
      <c r="AQ7">
        <v>2</v>
      </c>
      <c r="AR7">
        <v>0</v>
      </c>
      <c r="AS7">
        <v>0</v>
      </c>
      <c r="AT7">
        <v>0</v>
      </c>
      <c r="AU7">
        <v>0</v>
      </c>
      <c r="AV7">
        <v>1</v>
      </c>
      <c r="AW7">
        <v>2</v>
      </c>
      <c r="AX7">
        <v>0</v>
      </c>
      <c r="AY7">
        <v>0</v>
      </c>
      <c r="AZ7">
        <v>0</v>
      </c>
      <c r="BA7">
        <v>0</v>
      </c>
      <c r="BB7">
        <v>1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 s="46">
        <v>1</v>
      </c>
    </row>
    <row r="8" spans="2:72" x14ac:dyDescent="0.25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209"/>
      <c r="H8" s="209"/>
      <c r="I8">
        <v>1</v>
      </c>
      <c r="J8">
        <v>1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>
        <v>0</v>
      </c>
      <c r="AG8">
        <v>0</v>
      </c>
      <c r="AH8">
        <v>0</v>
      </c>
      <c r="AI8">
        <v>0</v>
      </c>
      <c r="AJ8">
        <v>1</v>
      </c>
      <c r="AK8">
        <v>2</v>
      </c>
      <c r="AL8">
        <v>0</v>
      </c>
      <c r="AM8">
        <v>0</v>
      </c>
      <c r="AN8">
        <v>0</v>
      </c>
      <c r="AO8">
        <v>0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1</v>
      </c>
      <c r="AW8">
        <v>2</v>
      </c>
      <c r="AX8">
        <v>0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2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 s="46">
        <v>2</v>
      </c>
    </row>
    <row r="9" spans="2:72" x14ac:dyDescent="0.25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209"/>
      <c r="H9" s="209"/>
      <c r="I9">
        <v>0</v>
      </c>
      <c r="J9">
        <v>2</v>
      </c>
      <c r="K9">
        <v>0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0</v>
      </c>
      <c r="S9">
        <v>1</v>
      </c>
      <c r="T9">
        <v>2</v>
      </c>
      <c r="U9">
        <v>1</v>
      </c>
      <c r="V9">
        <v>0</v>
      </c>
      <c r="W9">
        <v>1</v>
      </c>
      <c r="X9">
        <v>2</v>
      </c>
      <c r="Y9">
        <v>2</v>
      </c>
      <c r="Z9">
        <v>0</v>
      </c>
      <c r="AA9">
        <v>1</v>
      </c>
      <c r="AB9">
        <v>2</v>
      </c>
      <c r="AC9">
        <v>0</v>
      </c>
      <c r="AD9">
        <v>1</v>
      </c>
      <c r="AE9">
        <v>4</v>
      </c>
      <c r="AF9">
        <v>0</v>
      </c>
      <c r="AG9">
        <v>4</v>
      </c>
      <c r="AH9">
        <v>1</v>
      </c>
      <c r="AI9">
        <v>0</v>
      </c>
      <c r="AJ9">
        <v>1</v>
      </c>
      <c r="AK9">
        <v>4</v>
      </c>
      <c r="AL9">
        <v>0</v>
      </c>
      <c r="AM9">
        <v>4</v>
      </c>
      <c r="AN9">
        <v>1</v>
      </c>
      <c r="AO9">
        <v>0</v>
      </c>
      <c r="AP9">
        <v>1</v>
      </c>
      <c r="AQ9">
        <v>4</v>
      </c>
      <c r="AR9">
        <v>0</v>
      </c>
      <c r="AS9">
        <v>4</v>
      </c>
      <c r="AT9">
        <v>1</v>
      </c>
      <c r="AU9">
        <v>0</v>
      </c>
      <c r="AV9">
        <v>1</v>
      </c>
      <c r="AW9">
        <v>4</v>
      </c>
      <c r="AX9">
        <v>0</v>
      </c>
      <c r="AY9">
        <v>4</v>
      </c>
      <c r="AZ9">
        <v>1</v>
      </c>
      <c r="BA9">
        <v>0</v>
      </c>
      <c r="BB9">
        <v>0</v>
      </c>
      <c r="BC9">
        <v>2</v>
      </c>
      <c r="BD9">
        <v>0</v>
      </c>
      <c r="BE9">
        <v>1</v>
      </c>
      <c r="BF9">
        <v>1</v>
      </c>
      <c r="BG9">
        <v>2</v>
      </c>
      <c r="BH9">
        <v>0</v>
      </c>
      <c r="BI9">
        <v>1</v>
      </c>
      <c r="BJ9">
        <v>4</v>
      </c>
      <c r="BK9">
        <v>0</v>
      </c>
      <c r="BL9">
        <v>4</v>
      </c>
      <c r="BM9">
        <v>1</v>
      </c>
      <c r="BN9">
        <v>0</v>
      </c>
      <c r="BO9">
        <v>2</v>
      </c>
      <c r="BP9">
        <v>0</v>
      </c>
      <c r="BQ9">
        <v>1</v>
      </c>
      <c r="BR9">
        <v>2</v>
      </c>
      <c r="BS9">
        <v>0</v>
      </c>
      <c r="BT9" s="46">
        <v>3</v>
      </c>
    </row>
    <row r="10" spans="2:72" x14ac:dyDescent="0.25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209"/>
      <c r="H10" s="209"/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1</v>
      </c>
      <c r="AE10">
        <v>2</v>
      </c>
      <c r="AF10">
        <v>1</v>
      </c>
      <c r="AG10">
        <v>0</v>
      </c>
      <c r="AH10">
        <v>0</v>
      </c>
      <c r="AI10">
        <v>0</v>
      </c>
      <c r="AJ10">
        <v>1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1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2</v>
      </c>
      <c r="AX10">
        <v>1</v>
      </c>
      <c r="AY10">
        <v>0</v>
      </c>
      <c r="AZ10">
        <v>0</v>
      </c>
      <c r="BA10">
        <v>0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</v>
      </c>
      <c r="BK10">
        <v>1</v>
      </c>
      <c r="BL10">
        <v>0</v>
      </c>
      <c r="BM10">
        <v>0</v>
      </c>
      <c r="BN10">
        <v>0</v>
      </c>
      <c r="BO10">
        <v>1</v>
      </c>
      <c r="BP10">
        <v>1</v>
      </c>
      <c r="BQ10">
        <v>0</v>
      </c>
      <c r="BR10">
        <v>0</v>
      </c>
      <c r="BS10">
        <v>0</v>
      </c>
      <c r="BT10" s="46">
        <v>4</v>
      </c>
    </row>
    <row r="11" spans="2:72" x14ac:dyDescent="0.25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209"/>
      <c r="H11" s="209"/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2</v>
      </c>
      <c r="AF11">
        <v>1</v>
      </c>
      <c r="AG11">
        <v>0</v>
      </c>
      <c r="AH11">
        <v>0</v>
      </c>
      <c r="AI11">
        <v>0</v>
      </c>
      <c r="AJ11">
        <v>1</v>
      </c>
      <c r="AK11">
        <v>2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1</v>
      </c>
      <c r="AS11">
        <v>0</v>
      </c>
      <c r="AT11">
        <v>0</v>
      </c>
      <c r="AU11">
        <v>0</v>
      </c>
      <c r="AV11">
        <v>1</v>
      </c>
      <c r="AW11">
        <v>2</v>
      </c>
      <c r="AX11">
        <v>1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1</v>
      </c>
      <c r="BL11">
        <v>0</v>
      </c>
      <c r="BM11">
        <v>0</v>
      </c>
      <c r="BN11">
        <v>0</v>
      </c>
      <c r="BO11">
        <v>1</v>
      </c>
      <c r="BP11">
        <v>1</v>
      </c>
      <c r="BQ11">
        <v>0</v>
      </c>
      <c r="BR11">
        <v>0</v>
      </c>
      <c r="BS11">
        <v>0</v>
      </c>
      <c r="BT11" s="46">
        <v>5</v>
      </c>
    </row>
    <row r="12" spans="2:72" x14ac:dyDescent="0.25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209"/>
      <c r="H12" s="209"/>
      <c r="I12">
        <v>1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2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 s="46">
        <v>6</v>
      </c>
    </row>
    <row r="13" spans="2:72" x14ac:dyDescent="0.25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209"/>
      <c r="H13" s="209"/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 s="46">
        <v>7</v>
      </c>
    </row>
    <row r="14" spans="2:72" x14ac:dyDescent="0.25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209"/>
      <c r="H14" s="209"/>
      <c r="I14">
        <v>0</v>
      </c>
      <c r="J14">
        <v>2</v>
      </c>
      <c r="K14">
        <v>0</v>
      </c>
      <c r="L14">
        <v>1</v>
      </c>
      <c r="M14">
        <v>1</v>
      </c>
      <c r="N14">
        <v>1</v>
      </c>
      <c r="O14">
        <v>1</v>
      </c>
      <c r="P14">
        <v>2</v>
      </c>
      <c r="Q14">
        <v>1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1</v>
      </c>
      <c r="AB14">
        <v>2</v>
      </c>
      <c r="AC14">
        <v>0</v>
      </c>
      <c r="AD14">
        <v>1</v>
      </c>
      <c r="AE14">
        <v>4</v>
      </c>
      <c r="AF14">
        <v>0</v>
      </c>
      <c r="AG14">
        <v>4</v>
      </c>
      <c r="AH14">
        <v>1</v>
      </c>
      <c r="AI14">
        <v>0</v>
      </c>
      <c r="AJ14">
        <v>1</v>
      </c>
      <c r="AK14">
        <v>4</v>
      </c>
      <c r="AL14">
        <v>0</v>
      </c>
      <c r="AM14">
        <v>4</v>
      </c>
      <c r="AN14">
        <v>1</v>
      </c>
      <c r="AO14">
        <v>0</v>
      </c>
      <c r="AP14">
        <v>1</v>
      </c>
      <c r="AQ14">
        <v>4</v>
      </c>
      <c r="AR14">
        <v>0</v>
      </c>
      <c r="AS14">
        <v>4</v>
      </c>
      <c r="AT14">
        <v>1</v>
      </c>
      <c r="AU14">
        <v>0</v>
      </c>
      <c r="AV14">
        <v>1</v>
      </c>
      <c r="AW14">
        <v>4</v>
      </c>
      <c r="AX14">
        <v>0</v>
      </c>
      <c r="AY14">
        <v>4</v>
      </c>
      <c r="AZ14">
        <v>1</v>
      </c>
      <c r="BA14">
        <v>0</v>
      </c>
      <c r="BB14">
        <v>0</v>
      </c>
      <c r="BC14">
        <v>2</v>
      </c>
      <c r="BD14">
        <v>0</v>
      </c>
      <c r="BE14">
        <v>1</v>
      </c>
      <c r="BF14">
        <v>2</v>
      </c>
      <c r="BG14">
        <v>2</v>
      </c>
      <c r="BH14">
        <v>0</v>
      </c>
      <c r="BI14">
        <v>1</v>
      </c>
      <c r="BJ14">
        <v>2</v>
      </c>
      <c r="BK14">
        <v>0</v>
      </c>
      <c r="BL14">
        <v>4</v>
      </c>
      <c r="BM14">
        <v>1</v>
      </c>
      <c r="BN14">
        <v>0</v>
      </c>
      <c r="BO14">
        <v>2</v>
      </c>
      <c r="BP14">
        <v>0</v>
      </c>
      <c r="BQ14">
        <v>1</v>
      </c>
      <c r="BR14">
        <v>2</v>
      </c>
      <c r="BS14">
        <v>0</v>
      </c>
      <c r="BT14" s="46">
        <v>8</v>
      </c>
    </row>
    <row r="15" spans="2:72" x14ac:dyDescent="0.25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209"/>
      <c r="H15" s="209"/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1</v>
      </c>
      <c r="AE15">
        <v>2</v>
      </c>
      <c r="AF15">
        <v>1</v>
      </c>
      <c r="AG15">
        <v>0</v>
      </c>
      <c r="AH15">
        <v>0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1</v>
      </c>
      <c r="AQ15">
        <v>2</v>
      </c>
      <c r="AR15">
        <v>1</v>
      </c>
      <c r="AS15">
        <v>0</v>
      </c>
      <c r="AT15">
        <v>0</v>
      </c>
      <c r="AU15">
        <v>0</v>
      </c>
      <c r="AV15">
        <v>1</v>
      </c>
      <c r="AW15">
        <v>2</v>
      </c>
      <c r="AX15">
        <v>1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</v>
      </c>
      <c r="BK15">
        <v>1</v>
      </c>
      <c r="BL15">
        <v>0</v>
      </c>
      <c r="BM15">
        <v>0</v>
      </c>
      <c r="BN15">
        <v>0</v>
      </c>
      <c r="BO15">
        <v>1</v>
      </c>
      <c r="BP15">
        <v>1</v>
      </c>
      <c r="BQ15">
        <v>0</v>
      </c>
      <c r="BR15">
        <v>0</v>
      </c>
      <c r="BS15">
        <v>0</v>
      </c>
      <c r="BT15" s="46">
        <v>9</v>
      </c>
    </row>
    <row r="16" spans="2:72" x14ac:dyDescent="0.25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209"/>
      <c r="H16" s="209"/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2</v>
      </c>
      <c r="AF16">
        <v>1</v>
      </c>
      <c r="AG16">
        <v>0</v>
      </c>
      <c r="AH16">
        <v>0</v>
      </c>
      <c r="AI16">
        <v>0</v>
      </c>
      <c r="AJ16">
        <v>1</v>
      </c>
      <c r="AK16">
        <v>2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2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2</v>
      </c>
      <c r="AX16">
        <v>1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1</v>
      </c>
      <c r="BL16">
        <v>0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 s="46">
        <v>10</v>
      </c>
    </row>
    <row r="17" spans="2:72" x14ac:dyDescent="0.25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209"/>
      <c r="H17" s="209"/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2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2</v>
      </c>
      <c r="AL17">
        <v>1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2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1</v>
      </c>
      <c r="BL17">
        <v>0</v>
      </c>
      <c r="BM17">
        <v>0</v>
      </c>
      <c r="BN17">
        <v>0</v>
      </c>
      <c r="BO17">
        <v>1</v>
      </c>
      <c r="BP17">
        <v>1</v>
      </c>
      <c r="BQ17">
        <v>0</v>
      </c>
      <c r="BR17">
        <v>0</v>
      </c>
      <c r="BS17">
        <v>0</v>
      </c>
      <c r="BT17" s="46">
        <v>11</v>
      </c>
    </row>
    <row r="18" spans="2:72" x14ac:dyDescent="0.25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209"/>
      <c r="H18" s="209"/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1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1</v>
      </c>
      <c r="AE18">
        <v>2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2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2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1</v>
      </c>
      <c r="BC18">
        <v>1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</v>
      </c>
      <c r="BK18">
        <v>1</v>
      </c>
      <c r="BL18">
        <v>0</v>
      </c>
      <c r="BM18">
        <v>0</v>
      </c>
      <c r="BN18">
        <v>0</v>
      </c>
      <c r="BO18">
        <v>1</v>
      </c>
      <c r="BP18">
        <v>1</v>
      </c>
      <c r="BQ18">
        <v>0</v>
      </c>
      <c r="BR18">
        <v>0</v>
      </c>
      <c r="BS18">
        <v>0</v>
      </c>
      <c r="BT18" s="46">
        <v>12</v>
      </c>
    </row>
    <row r="19" spans="2:72" x14ac:dyDescent="0.25">
      <c r="B19" t="str">
        <f>CONCATENATE(Překlady!$C$14,"_",Překlady!$C$15,"_",Překlady!$C$36,"_",Překlady!$C$35)</f>
        <v>rohový_ano_v přerušení_vpravo</v>
      </c>
      <c r="C19" s="27">
        <v>3</v>
      </c>
      <c r="D19" s="27">
        <v>2</v>
      </c>
      <c r="E19" s="27">
        <v>3</v>
      </c>
      <c r="F19" s="27">
        <f>4+G7+H7</f>
        <v>4</v>
      </c>
      <c r="G19" s="209"/>
      <c r="H19" s="209"/>
      <c r="I19">
        <v>0</v>
      </c>
      <c r="J19">
        <v>2</v>
      </c>
      <c r="K19">
        <v>0</v>
      </c>
      <c r="L19">
        <v>1</v>
      </c>
      <c r="M19">
        <v>1</v>
      </c>
      <c r="N19">
        <v>1</v>
      </c>
      <c r="O19">
        <v>1</v>
      </c>
      <c r="P19">
        <v>2</v>
      </c>
      <c r="Q19">
        <v>1</v>
      </c>
      <c r="R19">
        <v>0</v>
      </c>
      <c r="S19">
        <v>1</v>
      </c>
      <c r="T19">
        <v>2</v>
      </c>
      <c r="U19">
        <v>1</v>
      </c>
      <c r="V19">
        <v>0</v>
      </c>
      <c r="W19">
        <v>1</v>
      </c>
      <c r="X19">
        <v>2</v>
      </c>
      <c r="Y19">
        <v>2</v>
      </c>
      <c r="Z19">
        <v>0</v>
      </c>
      <c r="AA19">
        <v>1</v>
      </c>
      <c r="AB19">
        <v>2</v>
      </c>
      <c r="AC19">
        <v>0</v>
      </c>
      <c r="AD19">
        <v>1</v>
      </c>
      <c r="AE19">
        <v>4</v>
      </c>
      <c r="AF19">
        <v>0</v>
      </c>
      <c r="AG19">
        <v>4</v>
      </c>
      <c r="AH19">
        <v>1</v>
      </c>
      <c r="AI19">
        <v>0</v>
      </c>
      <c r="AJ19">
        <v>1</v>
      </c>
      <c r="AK19">
        <v>4</v>
      </c>
      <c r="AL19">
        <v>0</v>
      </c>
      <c r="AM19">
        <v>4</v>
      </c>
      <c r="AN19">
        <v>1</v>
      </c>
      <c r="AO19">
        <v>0</v>
      </c>
      <c r="AP19">
        <v>1</v>
      </c>
      <c r="AQ19">
        <v>4</v>
      </c>
      <c r="AR19">
        <v>0</v>
      </c>
      <c r="AS19">
        <v>4</v>
      </c>
      <c r="AT19">
        <v>1</v>
      </c>
      <c r="AU19">
        <v>0</v>
      </c>
      <c r="AV19">
        <v>1</v>
      </c>
      <c r="AW19">
        <v>4</v>
      </c>
      <c r="AX19">
        <v>0</v>
      </c>
      <c r="AY19">
        <v>4</v>
      </c>
      <c r="AZ19">
        <v>1</v>
      </c>
      <c r="BA19">
        <v>0</v>
      </c>
      <c r="BB19">
        <v>0</v>
      </c>
      <c r="BC19">
        <v>2</v>
      </c>
      <c r="BD19">
        <v>0</v>
      </c>
      <c r="BE19">
        <v>1</v>
      </c>
      <c r="BF19">
        <v>2</v>
      </c>
      <c r="BG19">
        <v>2</v>
      </c>
      <c r="BH19">
        <v>0</v>
      </c>
      <c r="BI19">
        <v>1</v>
      </c>
      <c r="BJ19">
        <v>4</v>
      </c>
      <c r="BK19">
        <v>0</v>
      </c>
      <c r="BL19">
        <v>4</v>
      </c>
      <c r="BM19">
        <v>1</v>
      </c>
      <c r="BN19">
        <v>0</v>
      </c>
      <c r="BO19">
        <v>2</v>
      </c>
      <c r="BP19">
        <v>0</v>
      </c>
      <c r="BQ19">
        <v>1</v>
      </c>
      <c r="BR19">
        <v>2</v>
      </c>
      <c r="BS19">
        <v>0</v>
      </c>
      <c r="BT19" s="46">
        <v>13</v>
      </c>
    </row>
    <row r="20" spans="2:72" x14ac:dyDescent="0.25">
      <c r="B20" t="str">
        <f>CONCATENATE(Překlady!$C$14,"_",Překlady!$C$15,"_",Překlady!$C$36,"_",Překlady!$C$34)</f>
        <v>rohový_ano_v přerušení_vlevo</v>
      </c>
      <c r="C20" s="27">
        <v>3</v>
      </c>
      <c r="D20" s="27">
        <v>2</v>
      </c>
      <c r="E20" s="27">
        <v>3</v>
      </c>
      <c r="F20" s="27">
        <f>4+G7+H7</f>
        <v>4</v>
      </c>
      <c r="G20" s="209"/>
      <c r="H20" s="209"/>
      <c r="I20">
        <v>0</v>
      </c>
      <c r="J20">
        <v>2</v>
      </c>
      <c r="K20">
        <v>0</v>
      </c>
      <c r="L20">
        <v>1</v>
      </c>
      <c r="M20">
        <v>1</v>
      </c>
      <c r="N20">
        <v>1</v>
      </c>
      <c r="O20">
        <v>1</v>
      </c>
      <c r="P20">
        <v>2</v>
      </c>
      <c r="Q20">
        <v>1</v>
      </c>
      <c r="R20">
        <v>0</v>
      </c>
      <c r="S20">
        <v>1</v>
      </c>
      <c r="T20">
        <v>2</v>
      </c>
      <c r="U20">
        <v>1</v>
      </c>
      <c r="V20">
        <v>0</v>
      </c>
      <c r="W20">
        <v>1</v>
      </c>
      <c r="X20">
        <v>2</v>
      </c>
      <c r="Y20">
        <v>2</v>
      </c>
      <c r="Z20">
        <v>0</v>
      </c>
      <c r="AA20">
        <v>1</v>
      </c>
      <c r="AB20">
        <v>2</v>
      </c>
      <c r="AC20">
        <v>0</v>
      </c>
      <c r="AD20">
        <v>1</v>
      </c>
      <c r="AE20">
        <v>4</v>
      </c>
      <c r="AF20">
        <v>0</v>
      </c>
      <c r="AG20">
        <v>4</v>
      </c>
      <c r="AH20">
        <v>1</v>
      </c>
      <c r="AI20">
        <v>0</v>
      </c>
      <c r="AJ20">
        <v>1</v>
      </c>
      <c r="AK20">
        <v>4</v>
      </c>
      <c r="AL20">
        <v>0</v>
      </c>
      <c r="AM20">
        <v>4</v>
      </c>
      <c r="AN20">
        <v>1</v>
      </c>
      <c r="AO20">
        <v>0</v>
      </c>
      <c r="AP20">
        <v>1</v>
      </c>
      <c r="AQ20">
        <v>4</v>
      </c>
      <c r="AR20">
        <v>0</v>
      </c>
      <c r="AS20">
        <v>4</v>
      </c>
      <c r="AT20">
        <v>1</v>
      </c>
      <c r="AU20">
        <v>0</v>
      </c>
      <c r="AV20">
        <v>1</v>
      </c>
      <c r="AW20">
        <v>4</v>
      </c>
      <c r="AX20">
        <v>0</v>
      </c>
      <c r="AY20">
        <v>4</v>
      </c>
      <c r="AZ20">
        <v>1</v>
      </c>
      <c r="BA20">
        <v>0</v>
      </c>
      <c r="BB20">
        <v>0</v>
      </c>
      <c r="BC20">
        <v>2</v>
      </c>
      <c r="BD20">
        <v>0</v>
      </c>
      <c r="BE20">
        <v>1</v>
      </c>
      <c r="BF20">
        <v>2</v>
      </c>
      <c r="BG20">
        <v>2</v>
      </c>
      <c r="BH20">
        <v>0</v>
      </c>
      <c r="BI20">
        <v>1</v>
      </c>
      <c r="BJ20">
        <v>4</v>
      </c>
      <c r="BK20">
        <v>0</v>
      </c>
      <c r="BL20">
        <v>4</v>
      </c>
      <c r="BM20">
        <v>1</v>
      </c>
      <c r="BN20">
        <v>0</v>
      </c>
      <c r="BO20">
        <v>2</v>
      </c>
      <c r="BP20">
        <v>0</v>
      </c>
      <c r="BQ20">
        <v>1</v>
      </c>
      <c r="BR20">
        <v>2</v>
      </c>
      <c r="BS20">
        <v>0</v>
      </c>
      <c r="BT20" s="46">
        <v>14</v>
      </c>
    </row>
    <row r="21" spans="2:72" x14ac:dyDescent="0.25">
      <c r="B21" t="str">
        <f>CONCATENATE(Překlady!$C$14,"_",Překlady!$C$15,"_",Překlady!$C$38,"_",Překlady!$C$35)</f>
        <v>rohový_ano_v rohu_vpravo</v>
      </c>
      <c r="C21" s="27">
        <v>3</v>
      </c>
      <c r="D21" s="27">
        <v>2</v>
      </c>
      <c r="E21" s="27">
        <v>3</v>
      </c>
      <c r="F21" s="27">
        <f>4+G7+H7</f>
        <v>4</v>
      </c>
      <c r="G21" s="209"/>
      <c r="H21" s="209"/>
      <c r="I21">
        <v>0</v>
      </c>
      <c r="J21">
        <v>2</v>
      </c>
      <c r="K21">
        <v>1</v>
      </c>
      <c r="L21">
        <v>1</v>
      </c>
      <c r="M21">
        <v>1</v>
      </c>
      <c r="N21">
        <v>1</v>
      </c>
      <c r="O21">
        <v>2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0</v>
      </c>
      <c r="W21">
        <v>1</v>
      </c>
      <c r="X21">
        <v>2</v>
      </c>
      <c r="Y21">
        <v>2</v>
      </c>
      <c r="Z21">
        <v>1</v>
      </c>
      <c r="AA21">
        <v>1</v>
      </c>
      <c r="AB21">
        <v>2</v>
      </c>
      <c r="AC21">
        <v>1</v>
      </c>
      <c r="AD21">
        <v>1</v>
      </c>
      <c r="AE21">
        <v>4</v>
      </c>
      <c r="AF21">
        <v>1</v>
      </c>
      <c r="AG21">
        <v>4</v>
      </c>
      <c r="AH21">
        <v>1</v>
      </c>
      <c r="AI21">
        <v>1</v>
      </c>
      <c r="AJ21">
        <v>1</v>
      </c>
      <c r="AK21">
        <v>4</v>
      </c>
      <c r="AL21">
        <v>1</v>
      </c>
      <c r="AM21">
        <v>4</v>
      </c>
      <c r="AN21">
        <v>1</v>
      </c>
      <c r="AO21">
        <v>1</v>
      </c>
      <c r="AP21">
        <v>1</v>
      </c>
      <c r="AQ21">
        <v>4</v>
      </c>
      <c r="AR21">
        <v>1</v>
      </c>
      <c r="AS21">
        <v>4</v>
      </c>
      <c r="AT21">
        <v>1</v>
      </c>
      <c r="AU21">
        <v>1</v>
      </c>
      <c r="AV21">
        <v>1</v>
      </c>
      <c r="AW21">
        <v>4</v>
      </c>
      <c r="AX21">
        <v>1</v>
      </c>
      <c r="AY21">
        <v>4</v>
      </c>
      <c r="AZ21">
        <v>1</v>
      </c>
      <c r="BA21">
        <v>1</v>
      </c>
      <c r="BB21">
        <v>0</v>
      </c>
      <c r="BC21">
        <v>2</v>
      </c>
      <c r="BD21">
        <v>1</v>
      </c>
      <c r="BE21">
        <v>1</v>
      </c>
      <c r="BF21">
        <v>2</v>
      </c>
      <c r="BG21">
        <v>2</v>
      </c>
      <c r="BH21">
        <v>1</v>
      </c>
      <c r="BI21">
        <v>1</v>
      </c>
      <c r="BJ21">
        <v>4</v>
      </c>
      <c r="BK21">
        <v>1</v>
      </c>
      <c r="BL21">
        <v>4</v>
      </c>
      <c r="BM21">
        <v>1</v>
      </c>
      <c r="BN21">
        <v>1</v>
      </c>
      <c r="BO21">
        <v>2</v>
      </c>
      <c r="BP21">
        <v>1</v>
      </c>
      <c r="BQ21">
        <v>1</v>
      </c>
      <c r="BR21">
        <v>2</v>
      </c>
      <c r="BS21">
        <v>1</v>
      </c>
      <c r="BT21" s="46">
        <v>15</v>
      </c>
    </row>
    <row r="22" spans="2:72" x14ac:dyDescent="0.25">
      <c r="B22" t="str">
        <f>CONCATENATE(Překlady!$C$14,"_",Překlady!$C$15,"_",Překlady!$C$38,"_",Překlady!$C$34)</f>
        <v>rohový_ano_v rohu_vlevo</v>
      </c>
      <c r="C22" s="27">
        <v>3</v>
      </c>
      <c r="D22" s="27">
        <v>2</v>
      </c>
      <c r="E22" s="27">
        <v>3</v>
      </c>
      <c r="F22" s="27">
        <f>4+G7+H7</f>
        <v>4</v>
      </c>
      <c r="G22" s="209"/>
      <c r="H22" s="209"/>
      <c r="I22">
        <v>0</v>
      </c>
      <c r="J22">
        <v>2</v>
      </c>
      <c r="K22">
        <v>1</v>
      </c>
      <c r="L22">
        <v>1</v>
      </c>
      <c r="M22">
        <v>1</v>
      </c>
      <c r="N22">
        <v>1</v>
      </c>
      <c r="O22">
        <v>2</v>
      </c>
      <c r="P22">
        <v>2</v>
      </c>
      <c r="Q22">
        <v>1</v>
      </c>
      <c r="R22">
        <v>1</v>
      </c>
      <c r="S22">
        <v>1</v>
      </c>
      <c r="T22">
        <v>2</v>
      </c>
      <c r="U22">
        <v>1</v>
      </c>
      <c r="V22">
        <v>0</v>
      </c>
      <c r="W22">
        <v>1</v>
      </c>
      <c r="X22">
        <v>2</v>
      </c>
      <c r="Y22">
        <v>2</v>
      </c>
      <c r="Z22">
        <v>1</v>
      </c>
      <c r="AA22">
        <v>1</v>
      </c>
      <c r="AB22">
        <v>2</v>
      </c>
      <c r="AC22">
        <v>1</v>
      </c>
      <c r="AD22">
        <v>1</v>
      </c>
      <c r="AE22">
        <v>4</v>
      </c>
      <c r="AF22">
        <v>1</v>
      </c>
      <c r="AG22">
        <v>4</v>
      </c>
      <c r="AH22">
        <v>1</v>
      </c>
      <c r="AI22">
        <v>1</v>
      </c>
      <c r="AJ22">
        <v>1</v>
      </c>
      <c r="AK22">
        <v>4</v>
      </c>
      <c r="AL22">
        <v>1</v>
      </c>
      <c r="AM22">
        <v>4</v>
      </c>
      <c r="AN22">
        <v>1</v>
      </c>
      <c r="AO22">
        <v>1</v>
      </c>
      <c r="AP22">
        <v>1</v>
      </c>
      <c r="AQ22">
        <v>4</v>
      </c>
      <c r="AR22">
        <v>1</v>
      </c>
      <c r="AS22">
        <v>4</v>
      </c>
      <c r="AT22">
        <v>1</v>
      </c>
      <c r="AU22">
        <v>1</v>
      </c>
      <c r="AV22">
        <v>1</v>
      </c>
      <c r="AW22">
        <v>4</v>
      </c>
      <c r="AX22">
        <v>1</v>
      </c>
      <c r="AY22">
        <v>4</v>
      </c>
      <c r="AZ22">
        <v>1</v>
      </c>
      <c r="BA22">
        <v>1</v>
      </c>
      <c r="BB22">
        <v>0</v>
      </c>
      <c r="BC22">
        <v>2</v>
      </c>
      <c r="BD22">
        <v>1</v>
      </c>
      <c r="BE22">
        <v>1</v>
      </c>
      <c r="BF22">
        <v>2</v>
      </c>
      <c r="BG22">
        <v>2</v>
      </c>
      <c r="BH22">
        <v>1</v>
      </c>
      <c r="BI22">
        <v>1</v>
      </c>
      <c r="BJ22">
        <v>4</v>
      </c>
      <c r="BK22">
        <v>1</v>
      </c>
      <c r="BL22">
        <v>4</v>
      </c>
      <c r="BM22">
        <v>1</v>
      </c>
      <c r="BN22">
        <v>1</v>
      </c>
      <c r="BO22">
        <v>2</v>
      </c>
      <c r="BP22">
        <v>1</v>
      </c>
      <c r="BQ22">
        <v>1</v>
      </c>
      <c r="BR22">
        <v>2</v>
      </c>
      <c r="BS22">
        <v>1</v>
      </c>
      <c r="BT22" s="46">
        <v>16</v>
      </c>
    </row>
    <row r="23" spans="2:72" x14ac:dyDescent="0.25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IF(Sestava2!$G$110=I5,INDEX(I7:I22,$B$23),0)</f>
        <v>0</v>
      </c>
      <c r="J23" s="46" cm="1">
        <f t="array" ref="J23">IF(Sestava2!$G$110=I5,INDEX(J7:J22,$B$23),0)</f>
        <v>0</v>
      </c>
      <c r="K23" s="46" cm="1">
        <f t="array" ref="K23">IF(Sestava2!$G$110=I5,INDEX(K7:K22,$B$23),0)</f>
        <v>0</v>
      </c>
      <c r="L23" s="46" cm="1">
        <f t="array" ref="L23">IF(Sestava2!$G$110=I5,INDEX(L7:L22,$B$23),0)</f>
        <v>0</v>
      </c>
      <c r="M23" s="46" cm="1">
        <f t="array" ref="M23">IF(AND(Sestava2!$G$110=M5,Sestava2!$W$112=1),INDEX(M7:M22,$B$23),0)</f>
        <v>0</v>
      </c>
      <c r="N23" s="46" cm="1">
        <f t="array" ref="N23">IF(AND(Sestava2!$G$110=M5,Sestava2!$W$112=1),INDEX(N7:N22,$B$23),0)</f>
        <v>0</v>
      </c>
      <c r="O23" s="46" cm="1">
        <f t="array" ref="O23">IF(AND(Sestava2!$G$110=M5,Sestava2!$W$112=1),INDEX(O7:O22,$B$23),0)</f>
        <v>0</v>
      </c>
      <c r="P23" s="46" cm="1">
        <f t="array" ref="P23">IF(AND(Sestava2!$G$110=P5,Sestava2!$W$112=2),INDEX(P7:P22,$B$23),0)</f>
        <v>0</v>
      </c>
      <c r="Q23" s="46" cm="1">
        <f t="array" ref="Q23">IF(AND(Sestava2!$G$110=P5,Sestava2!$W$112=2),INDEX(Q7:Q22,$B$23),0)</f>
        <v>0</v>
      </c>
      <c r="R23" s="46" cm="1">
        <f t="array" ref="R23">IF(AND(Sestava2!$G$110=P5,Sestava2!$W$112=2),INDEX(R7:R22,$B$23),0)</f>
        <v>0</v>
      </c>
      <c r="S23" s="46" cm="1">
        <f t="array" ref="S23">IF(AND(Sestava2!$G$110=$S$5,Sestava2!$W$112=1),INDEX(S7:S22,$B$23),0)</f>
        <v>0</v>
      </c>
      <c r="T23" s="46" cm="1">
        <f t="array" ref="T23">IF(AND(Sestava2!$G$110=$S$5,Sestava2!$W$112=1),INDEX(T7:T22,$B$23),0)</f>
        <v>0</v>
      </c>
      <c r="U23" s="46" cm="1">
        <f t="array" ref="U23">IF(AND(Sestava2!$G$110=$S$5,Sestava2!$W$112=1),INDEX(U7:U22,$B$23),0)</f>
        <v>0</v>
      </c>
      <c r="V23" s="46" cm="1">
        <f t="array" ref="V23">IF(AND(Sestava2!$G$110=$S$5,Sestava2!$W$112=1),INDEX(V7:V22,$B$23),0)</f>
        <v>0</v>
      </c>
      <c r="W23" s="46" cm="1">
        <f t="array" ref="W23">IF(AND(Sestava2!$G$110=$W$5,Sestava2!$W$112=2),INDEX(W7:W22,$B$23),0)</f>
        <v>0</v>
      </c>
      <c r="X23" s="46" cm="1">
        <f t="array" ref="X23">IF(AND(Sestava2!$G$110=$W$5,Sestava2!$W$112=2),INDEX(X7:X22,$B$23),0)</f>
        <v>0</v>
      </c>
      <c r="Y23" s="46" cm="1">
        <f t="array" ref="Y23">IF(AND(Sestava2!$G$114=Y2,Sestava2!$W$114=Překlady!C97),INDEX(Y7:Y22,$B$23),0)</f>
        <v>0</v>
      </c>
      <c r="Z23" s="46" cm="1">
        <f t="array" ref="Z23">IF(AND(Sestava2!$G$114=Y2,Sestava2!$W$114=Překlady!C97),INDEX(Z7:Z22,$B$23),0)</f>
        <v>0</v>
      </c>
      <c r="AA23" s="46" cm="1">
        <f t="array" ref="AA23">IF(AND(Sestava2!$G$114=$AA$2,Sestava2!$W$114=Překlady!C98),INDEX(AA7:AA22,$B$23),0)</f>
        <v>0</v>
      </c>
      <c r="AB23" s="46" cm="1">
        <f t="array" ref="AB23">IF(AND(Sestava2!$G$114=$AA$2,Sestava2!$W$114=Překlady!C98),INDEX(AB7:AB22,$B$23),0)</f>
        <v>0</v>
      </c>
      <c r="AC23" s="46" cm="1">
        <f t="array" ref="AC23">IF(AND(Sestava2!$G$114=$AA$2,Sestava2!$W$114=Překlady!C98),INDEX(AC7:AC22,$B$23),0)</f>
        <v>0</v>
      </c>
      <c r="AD23" s="46" cm="1">
        <f t="array" ref="AD23">IF(AND(Sestava2!$G$114=$AD$2,Sestava2!$W$114=Překlady!C97),INDEX(AD7:AD22,$B$23),0)</f>
        <v>0</v>
      </c>
      <c r="AE23" s="46" cm="1">
        <f t="array" ref="AE23">IF(AND(Sestava2!$G$114=$AD$2,Sestava2!$W$114=Překlady!C97),INDEX(AE7:AE22,$B$23),0)</f>
        <v>0</v>
      </c>
      <c r="AF23" s="46" cm="1">
        <f t="array" ref="AF23">IF(AND(Sestava2!$G$114=$AD$2,Sestava2!$W$114=Překlady!C97),INDEX(AF7:AF22,$B$23),0)</f>
        <v>0</v>
      </c>
      <c r="AG23" s="46" t="e" cm="1">
        <f t="array" ref="AG23">IF(AND(Sestava2!$G$114=$AG$2,Sestava2!$W$114=Překlady!C98),INDEX(AG7:AG22,$B$23),0)</f>
        <v>#REF!</v>
      </c>
      <c r="AH23" s="46" t="e" cm="1">
        <f t="array" ref="AH23">IF(AND(Sestava2!$G$114=$AG$2,Sestava2!$W$114=Překlady!C98),INDEX(AH7:AH22,$B$23),0)</f>
        <v>#REF!</v>
      </c>
      <c r="AI23" s="46" t="e" cm="1">
        <f t="array" ref="AI23">IF(AND(Sestava2!$G$114=$AG$2,Sestava2!$W$114=Překlady!C98),INDEX(AI7:AI22,$B$23),0)</f>
        <v>#REF!</v>
      </c>
      <c r="AJ23" s="46" cm="1">
        <f t="array" ref="AJ23">IF(AND(Sestava2!$G$112=$AJ$2,Sestava2!$W$112=1),INDEX(AJ7:AJ22,$B$23),0)</f>
        <v>0</v>
      </c>
      <c r="AK23" s="46" cm="1">
        <f t="array" ref="AK23">IF(AND(Sestava2!$G$112=$AJ$2,Sestava2!$W$112=1),INDEX(AK7:AK22,$B$23),0)</f>
        <v>0</v>
      </c>
      <c r="AL23" s="46" cm="1">
        <f t="array" ref="AL23">IF(AND(Sestava2!$G$112=$AJ$2,Sestava2!$W$112=1),INDEX(AL7:AL22,$B$23),0)</f>
        <v>0</v>
      </c>
      <c r="AM23" s="46" cm="1">
        <f t="array" ref="AM23">IF(AND(Sestava2!$G$112=$AM$2,Sestava2!$W$112=2),INDEX(AM7:AM22,$B$23),0)</f>
        <v>0</v>
      </c>
      <c r="AN23" s="46" cm="1">
        <f t="array" ref="AN23">IF(AND(Sestava2!$G$112=$AM$2,Sestava2!$W$112=2),INDEX(AN7:AN22,$B$23),0)</f>
        <v>0</v>
      </c>
      <c r="AO23" s="46" cm="1">
        <f t="array" ref="AO23">IF(AND(Sestava2!$G$112=$AM$2,Sestava2!$W$112=2),INDEX(AO7:AO22,$B$23),0)</f>
        <v>0</v>
      </c>
      <c r="AP23" s="46" cm="1">
        <f t="array" ref="AP23">IF(AND(Sestava2!$G$112=$AP$2,Sestava2!$W$112=1),INDEX(AP7:AP22,$B$23),0)</f>
        <v>0</v>
      </c>
      <c r="AQ23" s="46" cm="1">
        <f t="array" ref="AQ23">IF(AND(Sestava2!$G$112=$AP$2,Sestava2!$W$112=1),INDEX(AQ7:AQ22,$B$23),0)</f>
        <v>0</v>
      </c>
      <c r="AR23" s="46" cm="1">
        <f t="array" ref="AR23">IF(AND(Sestava2!$G$112=$AP$2,Sestava2!$W$112=1),INDEX(AR7:AR22,$B$23),0)</f>
        <v>0</v>
      </c>
      <c r="AS23" s="46" cm="1">
        <f t="array" ref="AS23">IF(AND(Sestava2!$G$112=$AS$2,Sestava2!$W$112=2),INDEX(AS7:AS22,$B$23),0)</f>
        <v>0</v>
      </c>
      <c r="AT23" s="46" cm="1">
        <f t="array" ref="AT23">IF(AND(Sestava2!$G$112=$AS$2,Sestava2!$W$112=2),INDEX(AT7:AT22,$B$23),0)</f>
        <v>0</v>
      </c>
      <c r="AU23" s="46" cm="1">
        <f t="array" ref="AU23">IF(AND(Sestava2!$G$112=$AS$2,Sestava2!$W$112=2),INDEX(AU7:AU22,$B$23),0)</f>
        <v>0</v>
      </c>
      <c r="AV23" s="46" cm="1">
        <f t="array" ref="AV23">IF(AND(Sestava2!$G$112=$AV$2,Sestava2!$W$112=1),INDEX(AV7:AV22,$B$23),0)</f>
        <v>0</v>
      </c>
      <c r="AW23" s="46" cm="1">
        <f t="array" ref="AW23">IF(AND(Sestava2!$G$112=$AV$2,Sestava2!$W$112=1),INDEX(AW7:AW22,$B$23),0)</f>
        <v>0</v>
      </c>
      <c r="AX23" s="46" cm="1">
        <f t="array" ref="AX23">IF(AND(Sestava2!$G$112=$AV$2,Sestava2!$W$112=1),INDEX(AX7:AX22,$B$23),0)</f>
        <v>0</v>
      </c>
      <c r="AY23" s="46" t="e" cm="1">
        <f t="array" ref="AY23">IF(AND(Sestava2!$G$112=$AY$2,Sestava2!$W$112=2),INDEX(AY7:AY22,$B$23),0)</f>
        <v>#REF!</v>
      </c>
      <c r="AZ23" s="46" t="e" cm="1">
        <f t="array" ref="AZ23">IF(AND(Sestava2!$G$112=$AY$2,Sestava2!$W$112=2),INDEX(AZ7:AZ22,$B$23),0)</f>
        <v>#REF!</v>
      </c>
      <c r="BA23" s="46" t="e" cm="1">
        <f t="array" ref="BA23">IF(AND(Sestava2!$G$112=$AY$2,Sestava2!$W$112=2),INDEX(BA7:BA22,$B$23),0)</f>
        <v>#REF!</v>
      </c>
      <c r="BB23" s="46" cm="1">
        <f t="array" ref="BB23">IF(AND(Sestava2!$G$112=$BB$2,Sestava2!$W$112=1),INDEX(BB7:BB22,$B$23),0)</f>
        <v>0</v>
      </c>
      <c r="BC23" s="46" cm="1">
        <f t="array" ref="BC23">IF(AND(Sestava2!$G$112=$BB$2,Sestava2!$W$112=1),INDEX(BC7:BC22,$B$23),0)</f>
        <v>0</v>
      </c>
      <c r="BD23" s="46" cm="1">
        <f t="array" ref="BD23">IF(AND(Sestava2!$G$112=$BB$2,Sestava2!$W$112=1),INDEX(BD7:BD22,$B$23),0)</f>
        <v>0</v>
      </c>
      <c r="BE23" s="46" cm="1">
        <f t="array" ref="BE23">IF(AND(Sestava2!$G$112=$BB$2,Sestava2!$W$112=1),INDEX(BE7:BE22,$B$23),0)</f>
        <v>0</v>
      </c>
      <c r="BF23" s="46" cm="1">
        <f t="array" ref="BF23">IF(AND(Sestava2!$G$112=$BF$2,Sestava2!$W$112=2),INDEX(BF7:BF22,$B$23),0)</f>
        <v>0</v>
      </c>
      <c r="BG23" s="46" cm="1">
        <f t="array" ref="BG23">IF(AND(Sestava2!$G$112=$BF$2,Sestava2!$W$112=2),INDEX(BG7:BG22,$B$23),0)</f>
        <v>0</v>
      </c>
      <c r="BH23" s="46" cm="1">
        <f t="array" ref="BH23">IF(AND(Sestava2!$G$112=$BF$2,Sestava2!$W$112=2),INDEX(BH7:BH22,$B$23),0)</f>
        <v>0</v>
      </c>
      <c r="BI23" s="46" cm="1">
        <f t="array" ref="BI23">IF(AND(Sestava2!$G$112=$BF$2,Sestava2!$W$112=2),INDEX(BI7:BI22,$B$23),0)</f>
        <v>0</v>
      </c>
      <c r="BJ23" s="46" cm="1">
        <f t="array" ref="BJ23">IF(AND(Sestava2!$G$112=$BJ$2,Sestava2!$W$112=1),INDEX(BJ7:BJ22,$B$23),0)</f>
        <v>0</v>
      </c>
      <c r="BK23" s="46" cm="1">
        <f t="array" ref="BK23">IF(AND(Sestava2!$G$112=$BJ$2,Sestava2!$W$112=1),INDEX(BK7:BK22,$B$23),0)</f>
        <v>0</v>
      </c>
      <c r="BL23" s="46" cm="1">
        <f t="array" ref="BL23">IF(AND(Sestava2!$G$112=$BL$2,Sestava2!$W$112=2),INDEX(BL7:BL22,$B$23),0)</f>
        <v>0</v>
      </c>
      <c r="BM23" s="46" cm="1">
        <f t="array" ref="BM23">IF(AND(Sestava2!$G$112=$BL$2,Sestava2!$W$112=2),INDEX(BM7:BM22,$B$23),0)</f>
        <v>0</v>
      </c>
      <c r="BN23" s="46" cm="1">
        <f t="array" ref="BN23">IF(AND(Sestava2!$G$112=$BL$2,Sestava2!$W$112=2),INDEX(BN7:BN22,$B$23),0)</f>
        <v>0</v>
      </c>
      <c r="BO23" s="46" cm="1">
        <f t="array" ref="BO23">IF(AND(Sestava2!$G$112=$BO$2,Sestava2!$W$112=1),INDEX(BO7:BO22,$B$23),0)</f>
        <v>0</v>
      </c>
      <c r="BP23" s="46" cm="1">
        <f t="array" ref="BP23">IF(AND(Sestava2!$G$112=$BO$2,Sestava2!$W$112=1),INDEX(BP7:BP22,$B$23),0)</f>
        <v>0</v>
      </c>
      <c r="BQ23" s="46" cm="1">
        <f t="array" ref="BQ23">IF(AND(Sestava2!$G$112=$BQ$2,Sestava2!$W$112=2),INDEX(BQ7:BQ22,$B$23),0)</f>
        <v>0</v>
      </c>
      <c r="BR23" s="46" cm="1">
        <f t="array" ref="BR23">IF(AND(Sestava2!$G$112=$BQ$2,Sestava2!$W$112=2),INDEX(BR7:BR22,$B$23),0)</f>
        <v>0</v>
      </c>
      <c r="BS23" s="46" cm="1">
        <f t="array" ref="BS23">IF(AND(Sestava2!$G$112=$BQ$2,Sestava2!$W$112=2),INDEX(BS7:BS22,$B$23),0)</f>
        <v>0</v>
      </c>
    </row>
    <row r="25" spans="2:72" x14ac:dyDescent="0.25">
      <c r="C25" s="27">
        <v>1</v>
      </c>
      <c r="D25" s="27" t="s">
        <v>5827</v>
      </c>
    </row>
    <row r="26" spans="2:72" x14ac:dyDescent="0.25">
      <c r="C26" s="27">
        <v>3</v>
      </c>
      <c r="D26" s="27" t="s">
        <v>5828</v>
      </c>
    </row>
    <row r="27" spans="2:72" x14ac:dyDescent="0.25">
      <c r="C27" s="27">
        <v>2</v>
      </c>
      <c r="D27" s="27" t="s">
        <v>5829</v>
      </c>
    </row>
    <row r="29" spans="2:72" x14ac:dyDescent="0.25">
      <c r="C29">
        <f>COUNTIF($I$23:$BS$23,"&gt;0")</f>
        <v>0</v>
      </c>
    </row>
    <row r="30" spans="2:72" x14ac:dyDescent="0.25">
      <c r="E30" t="str">
        <f>IF($C$29&gt;0,HLOOKUP(1,$I$1:$BS$6,6,0),"")</f>
        <v/>
      </c>
      <c r="F30" t="str">
        <f>IF($C$29&gt;0,HLOOKUP(1,$I$1:$BS$22,6+$B$23,0),"")</f>
        <v/>
      </c>
    </row>
    <row r="31" spans="2:72" x14ac:dyDescent="0.25">
      <c r="E31" t="str">
        <f>IF($C$29&gt;1,HLOOKUP(2,$I$1:$BS$6,6,0),"")</f>
        <v/>
      </c>
      <c r="F31" t="str">
        <f>IF($C$29&gt;1,HLOOKUP(2,$I$1:$BS$22,6+$B$23,0),"")</f>
        <v/>
      </c>
    </row>
    <row r="32" spans="2:72" x14ac:dyDescent="0.25">
      <c r="E32" t="str">
        <f>IF($C$29&gt;2,HLOOKUP(3,$G$1:$BS$6,6,0),"")</f>
        <v/>
      </c>
      <c r="F32" t="str">
        <f>IF($C$29&gt;2,HLOOKUP(3,$G$1:$BS$22,6+$B$23,0),"")</f>
        <v/>
      </c>
    </row>
    <row r="33" spans="1:6" x14ac:dyDescent="0.25">
      <c r="E33" t="str">
        <f>IF($C$29&gt;3,HLOOKUP(4,$G$1:$BS$6,6,0),"")</f>
        <v/>
      </c>
      <c r="F33" t="str">
        <f>IF($C$29&gt;3,HLOOKUP(4,$G$1:$BS$22,6+$B$23,0),"")</f>
        <v/>
      </c>
    </row>
    <row r="36" spans="1:6" x14ac:dyDescent="0.25">
      <c r="D36" t="s">
        <v>5784</v>
      </c>
      <c r="E36" t="s">
        <v>5785</v>
      </c>
    </row>
    <row r="37" spans="1:6" x14ac:dyDescent="0.25">
      <c r="A37" t="e">
        <f>CONCATENATE(Překlady!$C$85,"_",F37,)</f>
        <v>#N/A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 t="e">
        <f>IF(D37&gt;=Sestava2!$AM$120,1,0)</f>
        <v>#N/A</v>
      </c>
    </row>
    <row r="38" spans="1:6" x14ac:dyDescent="0.25">
      <c r="A38" t="e">
        <f>CONCATENATE(Překlady!$C$85,"_",F38,)</f>
        <v>#N/A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 t="e">
        <f>IF(D38&gt;=Sestava2!$AM$120,1+F37,0)</f>
        <v>#N/A</v>
      </c>
    </row>
    <row r="39" spans="1:6" x14ac:dyDescent="0.25">
      <c r="A39" t="e">
        <f>CONCATENATE(Překlady!$C$85,"_",F39,)</f>
        <v>#N/A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 t="e">
        <f>IF(D39&gt;=Sestava2!$AM$120,1+MAX($F$37:F38),0)</f>
        <v>#N/A</v>
      </c>
    </row>
    <row r="40" spans="1:6" x14ac:dyDescent="0.25">
      <c r="A40" t="e">
        <f>CONCATENATE(Překlady!$C$85,"_",F40,)</f>
        <v>#N/A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 t="e">
        <f>IF(D40&gt;=Sestava2!$AM$120,1+MAX($F$37:F39),0)</f>
        <v>#N/A</v>
      </c>
    </row>
    <row r="41" spans="1:6" x14ac:dyDescent="0.25">
      <c r="A41" t="e">
        <f>CONCATENATE(Překlady!$C$85,"_",F41,)</f>
        <v>#N/A</v>
      </c>
      <c r="B41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 t="e">
        <f>IF(D41&gt;=Sestava2!$AM$120,1+MAX($F$37:F40),0)</f>
        <v>#N/A</v>
      </c>
    </row>
    <row r="42" spans="1:6" x14ac:dyDescent="0.25">
      <c r="A42" t="e">
        <f>CONCATENATE(Překlady!$C$85,"_",F42,)</f>
        <v>#N/A</v>
      </c>
      <c r="B42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 t="e">
        <f>IF(D42&gt;=Sestava2!$AM$120,1+MAX($F$37:F41),0)</f>
        <v>#N/A</v>
      </c>
    </row>
    <row r="43" spans="1:6" x14ac:dyDescent="0.25">
      <c r="A43" t="e">
        <f>CONCATENATE(Překlady!$C$85,"_",F43,)</f>
        <v>#N/A</v>
      </c>
      <c r="B43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 t="e">
        <f>IF(D43&gt;=Sestava2!$AM$120,1+MAX($F$37:F42),0)</f>
        <v>#N/A</v>
      </c>
    </row>
    <row r="46" spans="1:6" x14ac:dyDescent="0.25">
      <c r="A46" t="e">
        <f>CONCATENATE(Překlady!$C$86,"_",F46)</f>
        <v>#N/A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 t="e">
        <f>IF(D46&gt;=Sestava2!$AM$120,1,0)</f>
        <v>#N/A</v>
      </c>
    </row>
    <row r="47" spans="1:6" x14ac:dyDescent="0.25">
      <c r="A47" t="e">
        <f>CONCATENATE(Překlady!$C$86,"_",F47)</f>
        <v>#N/A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 t="e">
        <f>IF(D47&gt;=Sestava2!$AM$120,1+F46,0)</f>
        <v>#N/A</v>
      </c>
    </row>
    <row r="48" spans="1:6" x14ac:dyDescent="0.25">
      <c r="A48" t="e">
        <f>CONCATENATE(Překlady!$C$86,"_",F48)</f>
        <v>#N/A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 t="e">
        <f>IF(D48&gt;=Sestava2!$AM$120,1+MAX($F$46:F47),0)</f>
        <v>#N/A</v>
      </c>
    </row>
    <row r="49" spans="1:6" x14ac:dyDescent="0.25">
      <c r="A49" t="e">
        <f>CONCATENATE(Překlady!$C$86,"_",F49)</f>
        <v>#N/A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 t="e">
        <f>IF(D49&gt;=Sestava2!$AM$120,1+MAX($F$46:F48),0)</f>
        <v>#N/A</v>
      </c>
    </row>
    <row r="50" spans="1:6" x14ac:dyDescent="0.25">
      <c r="A50" t="e">
        <f>CONCATENATE(Překlady!$C$86,"_",F50)</f>
        <v>#N/A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 t="e">
        <f>IF(D50&gt;=Sestava2!$AM$120,1+MAX($F$46:F49),0)</f>
        <v>#N/A</v>
      </c>
    </row>
    <row r="51" spans="1:6" x14ac:dyDescent="0.25">
      <c r="A51" t="e">
        <f>CONCATENATE(Překlady!$C$86,"_",F51)</f>
        <v>#N/A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 t="e">
        <f>IF(D51&gt;=Sestava2!$AM$120,1+MAX($F$46:F50),0)</f>
        <v>#N/A</v>
      </c>
    </row>
    <row r="52" spans="1:6" x14ac:dyDescent="0.25">
      <c r="A52" t="e">
        <f>CONCATENATE(Překlady!$C$86,"_",F52)</f>
        <v>#N/A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 t="e">
        <f>IF(D52&gt;=Sestava2!$AM$120,1+MAX($F$46:F51),0)</f>
        <v>#N/A</v>
      </c>
    </row>
    <row r="53" spans="1:6" x14ac:dyDescent="0.25">
      <c r="A53" t="e">
        <f>CONCATENATE(Překlady!$C$86,"_",F53)</f>
        <v>#N/A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 t="e">
        <f>IF(D53&gt;=Sestava2!$AM$120,1+MAX($F$46:F52),0)</f>
        <v>#N/A</v>
      </c>
    </row>
    <row r="54" spans="1:6" x14ac:dyDescent="0.25">
      <c r="A54" t="e">
        <f>CONCATENATE(Překlady!$C$86,"_",F54)</f>
        <v>#N/A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 t="e">
        <f>IF(D54&gt;=Sestava2!$AM$120,1+MAX($F$46:F53),0)</f>
        <v>#N/A</v>
      </c>
    </row>
    <row r="55" spans="1:6" x14ac:dyDescent="0.25">
      <c r="A55" t="e">
        <f>CONCATENATE(Překlady!$C$86,"_",F55)</f>
        <v>#N/A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 t="e">
        <f>IF(D55&gt;=Sestava2!$AM$120,1+MAX($F$46:F54),0)</f>
        <v>#N/A</v>
      </c>
    </row>
    <row r="57" spans="1:6" x14ac:dyDescent="0.25">
      <c r="C57" s="70" t="s">
        <v>5784</v>
      </c>
      <c r="D57" s="70" t="s">
        <v>5785</v>
      </c>
    </row>
    <row r="58" spans="1:6" x14ac:dyDescent="0.25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25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25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25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25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25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25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25">
      <c r="C65" s="27"/>
      <c r="D65" s="27"/>
    </row>
    <row r="66" spans="1:4" x14ac:dyDescent="0.25">
      <c r="C66" s="27"/>
      <c r="D66" s="27"/>
    </row>
    <row r="67" spans="1:4" x14ac:dyDescent="0.25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25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25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25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25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25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25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25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25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25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25">
      <c r="C77" s="27"/>
      <c r="D77" s="27"/>
    </row>
    <row r="78" spans="1:4" x14ac:dyDescent="0.25">
      <c r="A78" t="str">
        <f>Produkty!B191</f>
        <v>StrongLumio bezdrátový vypínač samonapájecí kulatý bílý</v>
      </c>
      <c r="C78" s="30">
        <f>IF(Produkty!$B$214=Sestava2!$G$114,Produkty!$E$214,IF(Produkty!$B$215=Sestava2!$G$114,Produkty!$E$215,IF(Produkty!$B$216=Sestava2!$G$114,Produkty!$E$216,0)))</f>
        <v>0</v>
      </c>
      <c r="D78" s="30">
        <f>IF(Produkty!$B$214=Sestava2!$G$114,Produkty!$F$214,IF(Produkty!$B$215=Sestava2!$G$114,Produkty!$F$215,IF(Produkty!$B$216=Sestava2!$G$114,Produkty!$F$216,0)))</f>
        <v>0</v>
      </c>
    </row>
    <row r="79" spans="1:4" x14ac:dyDescent="0.25">
      <c r="A79" t="str">
        <f>Produkty!B192</f>
        <v>StrongLumio bezdrátový vypínač samonapájecí kulatý černý</v>
      </c>
      <c r="C79" s="30">
        <f>IF(Produkty!$B$214=Sestava2!$G$114,Produkty!$E$214,IF(Produkty!$B$215=Sestava2!$G$114,Produkty!$E$215,IF(Produkty!$B$216=Sestava2!$G$114,Produkty!$E$216,0)))</f>
        <v>0</v>
      </c>
      <c r="D79" s="30">
        <f>IF(Produkty!$B$214=Sestava2!$G$114,Produkty!$F$214,IF(Produkty!$B$215=Sestava2!$G$114,Produkty!$F$215,IF(Produkty!$B$216=Sestava2!$G$114,Produkty!$F$216,0)))</f>
        <v>0</v>
      </c>
    </row>
    <row r="80" spans="1:4" x14ac:dyDescent="0.25">
      <c r="A80" t="str">
        <f>Produkty!B193</f>
        <v>StrongLumio bezdrátový vypínač samonapájecí 35mm k zafrézování bílý</v>
      </c>
      <c r="C80" s="30">
        <f>IF(Produkty!$B$214=Sestava2!$G$114,Produkty!$E$214,IF(Produkty!$B$215=Sestava2!$G$114,Produkty!$E$215,IF(Produkty!$B$216=Sestava2!$G$114,Produkty!$E$216,0)))</f>
        <v>0</v>
      </c>
      <c r="D80" s="30">
        <f>IF(Produkty!$B$214=Sestava2!$G$114,Produkty!$F$214,IF(Produkty!$B$215=Sestava2!$G$114,Produkty!$F$215,IF(Produkty!$B$216=Sestava2!$G$114,Produkty!$F$216,0)))</f>
        <v>0</v>
      </c>
    </row>
    <row r="81" spans="1:4" x14ac:dyDescent="0.25">
      <c r="A81" t="str">
        <f>Produkty!B194</f>
        <v>StrongLumio bezdrátový vypínač samonapájecí 35mm k zafrézování černý</v>
      </c>
      <c r="C81" s="30">
        <f>IF(Produkty!$B$214=Sestava2!$G$114,Produkty!$E$214,IF(Produkty!$B$215=Sestava2!$G$114,Produkty!$E$215,IF(Produkty!$B$216=Sestava2!$G$114,Produkty!$E$216,0)))</f>
        <v>0</v>
      </c>
      <c r="D81" s="30">
        <f>IF(Produkty!$B$214=Sestava2!$G$114,Produkty!$F$214,IF(Produkty!$B$215=Sestava2!$G$114,Produkty!$F$215,IF(Produkty!$B$216=Sestava2!$G$114,Produkty!$F$216,0)))</f>
        <v>0</v>
      </c>
    </row>
    <row r="82" spans="1:4" x14ac:dyDescent="0.25">
      <c r="A82" t="str">
        <f>Produkty!B195</f>
        <v>StrongLumio bezdrátový vypínač samonapájecí - 1 tlačítko bílá</v>
      </c>
      <c r="C82" s="30">
        <f>IF(Produkty!$B$214=Sestava2!$G$114,Produkty!$E$214,IF(Produkty!$B$215=Sestava2!$G$114,Produkty!$E$215,IF(Produkty!$B$216=Sestava2!$G$114,Produkty!$E$216,0)))</f>
        <v>0</v>
      </c>
      <c r="D82" s="30">
        <f>IF(Produkty!$B$214=Sestava2!$G$114,Produkty!$F$214,IF(Produkty!$B$215=Sestava2!$G$114,Produkty!$F$215,IF(Produkty!$B$216=Sestava2!$G$114,Produkty!$F$216,0)))</f>
        <v>0</v>
      </c>
    </row>
    <row r="83" spans="1:4" x14ac:dyDescent="0.25">
      <c r="A83" t="str">
        <f>Produkty!B196</f>
        <v>StrongLumio bezdrátový vypínač samonapájecí - 1 tlačítko černá</v>
      </c>
      <c r="C83" s="30">
        <f>IF(Produkty!$B$214=Sestava2!$G$114,Produkty!$E$214,IF(Produkty!$B$215=Sestava2!$G$114,Produkty!$E$215,IF(Produkty!$B$216=Sestava2!$G$114,Produkty!$E$216,0)))</f>
        <v>0</v>
      </c>
      <c r="D83" s="30">
        <f>IF(Produkty!$B$214=Sestava2!$G$114,Produkty!$F$214,IF(Produkty!$B$215=Sestava2!$G$114,Produkty!$F$215,IF(Produkty!$B$216=Sestava2!$G$114,Produkty!$F$216,0)))</f>
        <v>0</v>
      </c>
    </row>
    <row r="84" spans="1:4" x14ac:dyDescent="0.25">
      <c r="A84" t="str">
        <f>Produkty!B197</f>
        <v>StrongLumio bezdrátový vypínač samonapájecí - 1 tlačítko stříbrná</v>
      </c>
      <c r="C84" s="30">
        <f>IF(Produkty!$B$214=Sestava2!$G$114,Produkty!$E$214,IF(Produkty!$B$215=Sestava2!$G$114,Produkty!$E$215,IF(Produkty!$B$216=Sestava2!$G$114,Produkty!$E$216,0)))</f>
        <v>0</v>
      </c>
      <c r="D84" s="30">
        <f>IF(Produkty!$B$214=Sestava2!$G$114,Produkty!$F$214,IF(Produkty!$B$215=Sestava2!$G$114,Produkty!$F$215,IF(Produkty!$B$216=Sestava2!$G$114,Produkty!$F$216,0)))</f>
        <v>0</v>
      </c>
    </row>
    <row r="85" spans="1:4" x14ac:dyDescent="0.25">
      <c r="A85" t="str">
        <f>Produkty!B198</f>
        <v>StrongLumio bezdrátový vypínač samonapájecí - 1 tlačítko zlatá</v>
      </c>
      <c r="C85" s="30">
        <f>IF(Produkty!$B$214=Sestava2!$G$114,Produkty!$E$214,IF(Produkty!$B$215=Sestava2!$G$114,Produkty!$E$215,IF(Produkty!$B$216=Sestava2!$G$114,Produkty!$E$216,0)))</f>
        <v>0</v>
      </c>
      <c r="D85" s="30">
        <f>IF(Produkty!$B$214=Sestava2!$G$114,Produkty!$F$214,IF(Produkty!$B$215=Sestava2!$G$114,Produkty!$F$215,IF(Produkty!$B$216=Sestava2!$G$114,Produkty!$F$216,0)))</f>
        <v>0</v>
      </c>
    </row>
    <row r="86" spans="1:4" x14ac:dyDescent="0.25">
      <c r="A86" t="str">
        <f>Produkty!B199</f>
        <v>StrongLumio bezdrátový vypínač samonapájecí - 2 tlačítka bílá</v>
      </c>
      <c r="C86" s="30">
        <f>IF(Produkty!$B$214=Sestava2!$G$114,Produkty!$E$214,IF(Produkty!$B$215=Sestava2!$G$114,Produkty!$E$215,IF(Produkty!$B$216=Sestava2!$G$114,Produkty!$E$216,0)))</f>
        <v>0</v>
      </c>
      <c r="D86" s="30">
        <f>IF(Produkty!$B$214=Sestava2!$G$114,Produkty!$F$214,IF(Produkty!$B$215=Sestava2!$G$114,Produkty!$F$215,IF(Produkty!$B$216=Sestava2!$G$114,Produkty!$F$216,0)))</f>
        <v>0</v>
      </c>
    </row>
    <row r="87" spans="1:4" x14ac:dyDescent="0.25">
      <c r="A87" t="str">
        <f>Produkty!B200</f>
        <v>StrongLumio bezdrátový vypínač samonapájecí - 2 tlačítka černá</v>
      </c>
      <c r="C87" s="30">
        <f>IF(Produkty!$B$214=Sestava2!$G$114,Produkty!$E$214,IF(Produkty!$B$215=Sestava2!$G$114,Produkty!$E$215,IF(Produkty!$B$216=Sestava2!$G$114,Produkty!$E$216,0)))</f>
        <v>0</v>
      </c>
      <c r="D87" s="30">
        <f>IF(Produkty!$B$214=Sestava2!$G$114,Produkty!$F$214,IF(Produkty!$B$215=Sestava2!$G$114,Produkty!$F$215,IF(Produkty!$B$216=Sestava2!$G$114,Produkty!$F$216,0)))</f>
        <v>0</v>
      </c>
    </row>
    <row r="88" spans="1:4" x14ac:dyDescent="0.25">
      <c r="A88" t="str">
        <f>Produkty!B201</f>
        <v>StrongLumio bezdrátový vypínač samonapájecí - 2 tlačítka stříbrná</v>
      </c>
      <c r="C88" s="30">
        <f>IF(Produkty!$B$214=Sestava2!$G$114,Produkty!$E$214,IF(Produkty!$B$215=Sestava2!$G$114,Produkty!$E$215,IF(Produkty!$B$216=Sestava2!$G$114,Produkty!$E$216,0)))</f>
        <v>0</v>
      </c>
      <c r="D88" s="30">
        <f>IF(Produkty!$B$214=Sestava2!$G$114,Produkty!$F$214,IF(Produkty!$B$215=Sestava2!$G$114,Produkty!$F$215,IF(Produkty!$B$216=Sestava2!$G$114,Produkty!$F$216,0)))</f>
        <v>0</v>
      </c>
    </row>
    <row r="89" spans="1:4" x14ac:dyDescent="0.25">
      <c r="A89" t="str">
        <f>Produkty!B202</f>
        <v>StrongLumio bezdrátový vypínač samonapájecí - 2 tlačítka zlatá</v>
      </c>
      <c r="C89" s="30">
        <f>IF(Produkty!$B$214=Sestava2!$G$114,Produkty!$E$214,IF(Produkty!$B$215=Sestava2!$G$114,Produkty!$E$215,IF(Produkty!$B$216=Sestava2!$G$114,Produkty!$E$216,0)))</f>
        <v>0</v>
      </c>
      <c r="D89" s="30">
        <f>IF(Produkty!$B$214=Sestava2!$G$114,Produkty!$F$214,IF(Produkty!$B$215=Sestava2!$G$114,Produkty!$F$215,IF(Produkty!$B$216=Sestava2!$G$114,Produkty!$F$216,0)))</f>
        <v>0</v>
      </c>
    </row>
    <row r="90" spans="1:4" x14ac:dyDescent="0.25">
      <c r="A90" t="str">
        <f>Produkty!B203</f>
        <v>StrongLumio bezdrátový vypínač samonapájecí - 3 tlačítka bílá</v>
      </c>
      <c r="C90" s="30">
        <f>IF(Produkty!$B$214=Sestava2!$G$114,Produkty!$E$214,IF(Produkty!$B$215=Sestava2!$G$114,Produkty!$E$215,IF(Produkty!$B$216=Sestava2!$G$114,Produkty!$E$216,0)))</f>
        <v>0</v>
      </c>
      <c r="D90" s="30">
        <f>IF(Produkty!$B$214=Sestava2!$G$114,Produkty!$F$214,IF(Produkty!$B$215=Sestava2!$G$114,Produkty!$F$215,IF(Produkty!$B$216=Sestava2!$G$114,Produkty!$F$216,0)))</f>
        <v>0</v>
      </c>
    </row>
    <row r="91" spans="1:4" x14ac:dyDescent="0.25">
      <c r="A91" t="str">
        <f>Produkty!B204</f>
        <v>StrongLumio bezdrátový vypínač samonapájecí - 3 tlačítka černá</v>
      </c>
      <c r="C91" s="30">
        <f>IF(Produkty!$B$214=Sestava2!$G$114,Produkty!$E$214,IF(Produkty!$B$215=Sestava2!$G$114,Produkty!$E$215,IF(Produkty!$B$216=Sestava2!$G$114,Produkty!$E$216,0)))</f>
        <v>0</v>
      </c>
      <c r="D91" s="30">
        <f>IF(Produkty!$B$214=Sestava2!$G$114,Produkty!$F$214,IF(Produkty!$B$215=Sestava2!$G$114,Produkty!$F$215,IF(Produkty!$B$216=Sestava2!$G$114,Produkty!$F$216,0)))</f>
        <v>0</v>
      </c>
    </row>
    <row r="92" spans="1:4" x14ac:dyDescent="0.25">
      <c r="A92" t="str">
        <f>Produkty!B205</f>
        <v>StrongLumio bezdrátový vypínač samonapájecí - 3 tlačítka stříbrná</v>
      </c>
      <c r="C92" s="30">
        <f>IF(Produkty!$B$214=Sestava2!$G$114,Produkty!$E$214,IF(Produkty!$B$215=Sestava2!$G$114,Produkty!$E$215,IF(Produkty!$B$216=Sestava2!$G$114,Produkty!$E$216,0)))</f>
        <v>0</v>
      </c>
      <c r="D92" s="30">
        <f>IF(Produkty!$B$214=Sestava2!$G$114,Produkty!$F$214,IF(Produkty!$B$215=Sestava2!$G$114,Produkty!$F$215,IF(Produkty!$B$216=Sestava2!$G$114,Produkty!$F$216,0)))</f>
        <v>0</v>
      </c>
    </row>
    <row r="93" spans="1:4" x14ac:dyDescent="0.25">
      <c r="C93" s="30"/>
      <c r="D93" s="30"/>
    </row>
    <row r="94" spans="1:4" x14ac:dyDescent="0.25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25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25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25">
      <c r="C97" s="27"/>
      <c r="D97" s="27"/>
    </row>
    <row r="98" spans="1:4" x14ac:dyDescent="0.25">
      <c r="A98" t="str">
        <f>Produkty!B220</f>
        <v>StrongLumio dálkový ovladač RF univerzální 2 v 1</v>
      </c>
      <c r="C98" s="30">
        <f>IF(Produkty!B228=Sestava2!G114,Produkty!E228,IF(Produkty!B229=Sestava2!G114,Produkty!E229,0))</f>
        <v>0</v>
      </c>
      <c r="D98" s="30">
        <f>IF(Produkty!B228=Sestava2!G114,Produkty!F228,IF(Produkty!B229=Sestava2!G114,Produkty!F229,0))</f>
        <v>0</v>
      </c>
    </row>
    <row r="99" spans="1:4" x14ac:dyDescent="0.25">
      <c r="A99" t="str">
        <f>Produkty!B221</f>
        <v>StrongLumio dálkový ovladač otočný DIM/CCT/RGB/RGBW - 1 zóna</v>
      </c>
      <c r="C99" s="30">
        <f>IF(Produkty!B228=Sestava2!G114,Produkty!E228,IF(Produkty!B229=Sestava2!G114,Produkty!E229,0))</f>
        <v>0</v>
      </c>
      <c r="D99" s="30">
        <f>IF(Produkty!B228=Sestava2!G114,Produkty!F228,IF(Produkty!B229=Sestava2!G114,Produkty!F229,0))</f>
        <v>0</v>
      </c>
    </row>
    <row r="100" spans="1:4" x14ac:dyDescent="0.25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25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25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25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25">
      <c r="C104" s="27"/>
      <c r="D104" s="27"/>
    </row>
    <row r="105" spans="1:4" x14ac:dyDescent="0.25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25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25">
      <c r="C107" s="27"/>
      <c r="D107" s="27"/>
    </row>
    <row r="108" spans="1:4" x14ac:dyDescent="0.25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1">
    <mergeCell ref="AL2:AL5"/>
    <mergeCell ref="AM2:AN5"/>
    <mergeCell ref="AO2:AO5"/>
    <mergeCell ref="Y2:Y5"/>
    <mergeCell ref="Z2:Z5"/>
    <mergeCell ref="AA2:AB5"/>
    <mergeCell ref="AC2:AC5"/>
    <mergeCell ref="AD2:AE5"/>
    <mergeCell ref="AF2:AF5"/>
    <mergeCell ref="C5:D5"/>
    <mergeCell ref="I5:L5"/>
    <mergeCell ref="N5:O5"/>
    <mergeCell ref="T5:V5"/>
    <mergeCell ref="BJ2:BJ5"/>
    <mergeCell ref="AY2:AZ5"/>
    <mergeCell ref="BA2:BA5"/>
    <mergeCell ref="BB2:BC5"/>
    <mergeCell ref="BD2:BE5"/>
    <mergeCell ref="BF2:BG5"/>
    <mergeCell ref="BH2:BI5"/>
    <mergeCell ref="AP2:AQ5"/>
    <mergeCell ref="AR2:AR5"/>
    <mergeCell ref="AS2:AT5"/>
    <mergeCell ref="AU2:AU5"/>
    <mergeCell ref="AV2:AW5"/>
    <mergeCell ref="G6:H6"/>
    <mergeCell ref="G7:G22"/>
    <mergeCell ref="H7:H22"/>
    <mergeCell ref="BQ2:BR5"/>
    <mergeCell ref="BS2:BS5"/>
    <mergeCell ref="X3:X5"/>
    <mergeCell ref="G4:H4"/>
    <mergeCell ref="BK2:BK5"/>
    <mergeCell ref="BL2:BM5"/>
    <mergeCell ref="BN2:BN5"/>
    <mergeCell ref="BO2:BO5"/>
    <mergeCell ref="BP2:BP5"/>
    <mergeCell ref="AX2:AX5"/>
    <mergeCell ref="AG2:AH5"/>
    <mergeCell ref="AI2:AI5"/>
    <mergeCell ref="AJ2:AK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997A-1FEB-4444-9AAE-0B0F8B58E1FC}">
  <sheetPr>
    <tabColor rgb="FFFFFF00"/>
  </sheetPr>
  <dimension ref="A1:CF147"/>
  <sheetViews>
    <sheetView showGridLines="0" showRowColHeaders="0" showZeros="0" zoomScaleNormal="100" workbookViewId="0">
      <pane ySplit="7" topLeftCell="A8" activePane="bottomLeft" state="frozen"/>
      <selection pane="bottomLeft" activeCell="G15" sqref="G15:O15"/>
    </sheetView>
  </sheetViews>
  <sheetFormatPr defaultColWidth="0" defaultRowHeight="14.45" customHeight="1" zeroHeight="1" x14ac:dyDescent="0.25"/>
  <cols>
    <col min="1" max="2" width="7.28515625" style="7" customWidth="1"/>
    <col min="3" max="3" width="11.28515625" style="7" customWidth="1"/>
    <col min="4" max="4" width="10.140625" style="7" customWidth="1"/>
    <col min="5" max="5" width="11" style="7" customWidth="1"/>
    <col min="6" max="6" width="4.7109375" style="7" customWidth="1"/>
    <col min="7" max="7" width="7.28515625" style="7" customWidth="1"/>
    <col min="8" max="8" width="4.140625" style="7" customWidth="1"/>
    <col min="9" max="11" width="7.28515625" style="7" customWidth="1"/>
    <col min="12" max="12" width="6.28515625" style="7" customWidth="1"/>
    <col min="13" max="13" width="7.28515625" style="7" customWidth="1"/>
    <col min="14" max="14" width="4.85546875" style="7" customWidth="1"/>
    <col min="15" max="15" width="13.140625" style="7" customWidth="1"/>
    <col min="16" max="16" width="7.28515625" style="7" customWidth="1"/>
    <col min="17" max="17" width="9.140625" style="7" customWidth="1"/>
    <col min="18" max="18" width="7.28515625" style="7" customWidth="1"/>
    <col min="19" max="19" width="4.42578125" style="7" customWidth="1"/>
    <col min="20" max="20" width="7.28515625" style="7" customWidth="1"/>
    <col min="21" max="21" width="7.42578125" style="7" customWidth="1"/>
    <col min="22" max="23" width="6.5703125" style="7" customWidth="1"/>
    <col min="24" max="24" width="8.5703125" style="7" customWidth="1"/>
    <col min="25" max="25" width="3" style="7" customWidth="1"/>
    <col min="26" max="26" width="7.85546875" style="7" customWidth="1"/>
    <col min="27" max="27" width="2.28515625" style="7" customWidth="1"/>
    <col min="28" max="29" width="3" style="7" customWidth="1"/>
    <col min="30" max="30" width="5.140625" style="7" customWidth="1"/>
    <col min="31" max="31" width="11.28515625" style="7" customWidth="1"/>
    <col min="32" max="32" width="2.85546875" style="7" customWidth="1"/>
    <col min="33" max="33" width="9.42578125" style="7" customWidth="1"/>
    <col min="34" max="35" width="3.7109375" style="7" customWidth="1"/>
    <col min="36" max="36" width="4.5703125" style="7" customWidth="1"/>
    <col min="37" max="37" width="37.85546875" style="140" hidden="1" customWidth="1"/>
    <col min="38" max="38" width="13.42578125" style="7" hidden="1" customWidth="1"/>
    <col min="39" max="39" width="59.7109375" style="7" hidden="1" customWidth="1"/>
    <col min="40" max="40" width="9.140625" style="7" hidden="1" customWidth="1"/>
    <col min="41" max="41" width="46.85546875" style="7" hidden="1" customWidth="1"/>
    <col min="42" max="42" width="15" style="7" hidden="1" customWidth="1"/>
    <col min="43" max="43" width="13.5703125" style="7" hidden="1" customWidth="1"/>
    <col min="44" max="44" width="23.7109375" style="7" hidden="1" customWidth="1"/>
    <col min="45" max="45" width="9.140625" style="7" hidden="1" customWidth="1"/>
    <col min="46" max="46" width="18.28515625" style="7" hidden="1" customWidth="1"/>
    <col min="47" max="47" width="10.42578125" style="7" hidden="1" customWidth="1"/>
    <col min="48" max="48" width="9.140625" style="7" hidden="1" customWidth="1"/>
    <col min="49" max="49" width="10.42578125" style="7" hidden="1" customWidth="1"/>
    <col min="50" max="53" width="9.140625" style="7" hidden="1" customWidth="1"/>
    <col min="54" max="54" width="19.28515625" style="7" hidden="1" customWidth="1"/>
    <col min="55" max="55" width="25.28515625" style="7" hidden="1" customWidth="1"/>
    <col min="56" max="56" width="13.28515625" style="7" hidden="1" customWidth="1"/>
    <col min="57" max="61" width="9.140625" style="7" hidden="1" customWidth="1"/>
    <col min="62" max="62" width="29.5703125" style="7" hidden="1" customWidth="1"/>
    <col min="63" max="63" width="18.28515625" style="7" hidden="1" customWidth="1"/>
    <col min="64" max="64" width="9.140625" style="7" hidden="1" customWidth="1"/>
    <col min="65" max="65" width="12.7109375" style="7" hidden="1" customWidth="1"/>
    <col min="66" max="68" width="8.28515625" style="7" hidden="1" customWidth="1"/>
    <col min="69" max="69" width="10.5703125" style="7" hidden="1" customWidth="1"/>
    <col min="70" max="70" width="9.140625" style="7" hidden="1" customWidth="1"/>
    <col min="71" max="73" width="14" style="7" hidden="1" customWidth="1"/>
    <col min="74" max="79" width="15.42578125" style="7" hidden="1" customWidth="1"/>
    <col min="80" max="16384" width="9.140625" style="7" hidden="1"/>
  </cols>
  <sheetData>
    <row r="1" spans="1:42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25">
      <c r="A2" s="25"/>
      <c r="B2" s="25"/>
      <c r="C2" s="25"/>
      <c r="D2" s="25"/>
      <c r="E2" s="216" t="str">
        <f>Překlady!$C$11&amp;" 3"</f>
        <v>Sestava 3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7"/>
      <c r="Z2" s="253" t="str">
        <f>Překlady!C7</f>
        <v>Úvod</v>
      </c>
      <c r="AA2" s="254"/>
      <c r="AB2" s="254"/>
      <c r="AC2" s="254"/>
      <c r="AD2" s="254"/>
      <c r="AE2" s="254"/>
      <c r="AF2" s="254"/>
      <c r="AG2" s="254"/>
      <c r="AH2" s="254"/>
      <c r="AI2" s="254"/>
      <c r="AJ2" s="28"/>
    </row>
    <row r="3" spans="1:42" ht="15" customHeight="1" x14ac:dyDescent="0.25">
      <c r="A3" s="25"/>
      <c r="B3" s="25"/>
      <c r="C3" s="25"/>
      <c r="D3" s="25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7"/>
      <c r="Z3" s="253"/>
      <c r="AA3" s="254"/>
      <c r="AB3" s="254"/>
      <c r="AC3" s="254"/>
      <c r="AD3" s="254"/>
      <c r="AE3" s="254"/>
      <c r="AF3" s="254"/>
      <c r="AG3" s="254"/>
      <c r="AH3" s="254"/>
      <c r="AI3" s="254"/>
      <c r="AJ3" s="28"/>
    </row>
    <row r="4" spans="1:42" ht="15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25">
      <c r="B5" s="210" t="str">
        <f>Překlady!$C$11&amp;" 1"</f>
        <v>Sestava 1</v>
      </c>
      <c r="C5" s="210"/>
      <c r="D5" s="210"/>
      <c r="E5" s="210"/>
      <c r="H5" s="210" t="str">
        <f>Překlady!$C$11&amp;" 2"</f>
        <v>Sestava 2</v>
      </c>
      <c r="I5" s="210"/>
      <c r="J5" s="210"/>
      <c r="K5" s="210"/>
      <c r="L5" s="210"/>
      <c r="N5" s="210" t="str">
        <f>Překlady!$C$11&amp;" 3"</f>
        <v>Sestava 3</v>
      </c>
      <c r="O5" s="210"/>
      <c r="P5" s="210"/>
      <c r="Q5" s="210"/>
      <c r="R5" s="50"/>
      <c r="S5" s="210" t="str">
        <f>Překlady!$C$11&amp;" 4"</f>
        <v>Sestava 4</v>
      </c>
      <c r="T5" s="210"/>
      <c r="U5" s="210"/>
      <c r="V5" s="210"/>
      <c r="W5" s="210"/>
    </row>
    <row r="6" spans="1:42" ht="15" customHeight="1" x14ac:dyDescent="0.25">
      <c r="B6" s="210"/>
      <c r="C6" s="210"/>
      <c r="D6" s="210"/>
      <c r="E6" s="210"/>
      <c r="H6" s="210"/>
      <c r="I6" s="210"/>
      <c r="J6" s="210"/>
      <c r="K6" s="210"/>
      <c r="L6" s="210"/>
      <c r="N6" s="210"/>
      <c r="O6" s="210"/>
      <c r="P6" s="210"/>
      <c r="Q6" s="210"/>
      <c r="R6" s="50"/>
      <c r="S6" s="210"/>
      <c r="T6" s="210"/>
      <c r="U6" s="210"/>
      <c r="V6" s="210"/>
      <c r="W6" s="210"/>
    </row>
    <row r="7" spans="1:42" ht="15" customHeight="1" x14ac:dyDescent="0.25"/>
    <row r="8" spans="1:42" ht="15" customHeight="1" x14ac:dyDescent="0.25"/>
    <row r="9" spans="1:42" ht="15" customHeight="1" thickBot="1" x14ac:dyDescent="0.3"/>
    <row r="10" spans="1:42" ht="15" customHeight="1" thickBot="1" x14ac:dyDescent="0.3">
      <c r="B10" s="146"/>
      <c r="C10" s="147"/>
      <c r="D10" s="147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8"/>
      <c r="AI10" s="149"/>
    </row>
    <row r="11" spans="1:42" ht="15" customHeight="1" x14ac:dyDescent="0.25">
      <c r="B11" s="246" t="str">
        <f>Překlady!C54</f>
        <v>Definujte profil:</v>
      </c>
      <c r="C11" s="247"/>
      <c r="D11" s="247"/>
      <c r="E11" s="247"/>
      <c r="Q11" s="219" t="str">
        <f>Překlady!C42</f>
        <v>povrchová</v>
      </c>
      <c r="R11" s="220"/>
      <c r="S11" s="220"/>
      <c r="T11" s="220"/>
      <c r="U11" s="220"/>
      <c r="V11" s="220"/>
      <c r="W11" s="220"/>
      <c r="X11" s="221"/>
      <c r="Z11" s="255" t="str">
        <f>Překlady!C43</f>
        <v>k zafrézování</v>
      </c>
      <c r="AA11" s="256"/>
      <c r="AB11" s="256"/>
      <c r="AC11" s="256"/>
      <c r="AD11" s="256"/>
      <c r="AE11" s="256"/>
      <c r="AF11" s="256"/>
      <c r="AG11" s="256"/>
      <c r="AH11" s="256"/>
      <c r="AI11" s="257"/>
      <c r="AJ11" s="150"/>
    </row>
    <row r="12" spans="1:42" ht="15" customHeight="1" x14ac:dyDescent="0.25">
      <c r="B12" s="246"/>
      <c r="C12" s="247"/>
      <c r="D12" s="247"/>
      <c r="E12" s="247"/>
      <c r="Q12" s="222" t="s">
        <v>134</v>
      </c>
      <c r="R12" s="223"/>
      <c r="S12" s="223"/>
      <c r="T12" s="224"/>
      <c r="U12" s="225" t="s">
        <v>135</v>
      </c>
      <c r="V12" s="223"/>
      <c r="W12" s="223"/>
      <c r="X12" s="226"/>
      <c r="Z12" s="305" t="s">
        <v>136</v>
      </c>
      <c r="AA12" s="237"/>
      <c r="AB12" s="237"/>
      <c r="AC12" s="237"/>
      <c r="AD12" s="237"/>
      <c r="AE12" s="237"/>
      <c r="AF12" s="237"/>
      <c r="AG12" s="237"/>
      <c r="AH12" s="237"/>
      <c r="AI12" s="238"/>
      <c r="AJ12" s="102"/>
    </row>
    <row r="13" spans="1:42" ht="15" customHeight="1" x14ac:dyDescent="0.3">
      <c r="B13" s="104"/>
      <c r="H13" s="151"/>
      <c r="Q13" s="227"/>
      <c r="R13" s="228"/>
      <c r="S13" s="228"/>
      <c r="T13" s="229"/>
      <c r="U13" s="236"/>
      <c r="V13" s="237"/>
      <c r="W13" s="237"/>
      <c r="X13" s="238"/>
      <c r="Z13" s="213"/>
      <c r="AA13" s="213"/>
      <c r="AB13" s="213"/>
      <c r="AC13" s="213"/>
      <c r="AD13" s="213"/>
      <c r="AE13" s="213"/>
      <c r="AF13" s="213"/>
      <c r="AG13" s="213"/>
      <c r="AH13" s="213"/>
      <c r="AI13" s="263"/>
      <c r="AJ13" s="50"/>
    </row>
    <row r="14" spans="1:42" ht="15" customHeight="1" x14ac:dyDescent="0.3">
      <c r="B14" s="104"/>
      <c r="E14" s="153"/>
      <c r="F14" s="151"/>
      <c r="G14" s="151"/>
      <c r="H14" s="151"/>
      <c r="Q14" s="230"/>
      <c r="R14" s="231"/>
      <c r="S14" s="231"/>
      <c r="T14" s="232"/>
      <c r="U14" s="239"/>
      <c r="V14" s="240"/>
      <c r="W14" s="240"/>
      <c r="X14" s="241"/>
      <c r="Z14" s="213"/>
      <c r="AA14" s="213"/>
      <c r="AB14" s="213"/>
      <c r="AC14" s="213"/>
      <c r="AD14" s="213"/>
      <c r="AE14" s="213"/>
      <c r="AF14" s="213"/>
      <c r="AG14" s="213"/>
      <c r="AH14" s="213"/>
      <c r="AI14" s="263"/>
      <c r="AJ14" s="50"/>
    </row>
    <row r="15" spans="1:42" ht="15" customHeight="1" x14ac:dyDescent="0.25">
      <c r="B15" s="248" t="str">
        <f>Překlady!C47</f>
        <v>Montáž:</v>
      </c>
      <c r="C15" s="201"/>
      <c r="D15" s="201"/>
      <c r="E15" s="201"/>
      <c r="G15" s="203"/>
      <c r="H15" s="203"/>
      <c r="I15" s="203"/>
      <c r="J15" s="203"/>
      <c r="K15" s="203"/>
      <c r="L15" s="203"/>
      <c r="M15" s="203"/>
      <c r="N15" s="203"/>
      <c r="O15" s="203"/>
      <c r="Q15" s="230"/>
      <c r="R15" s="231"/>
      <c r="S15" s="231"/>
      <c r="T15" s="232"/>
      <c r="U15" s="239"/>
      <c r="V15" s="240"/>
      <c r="W15" s="240"/>
      <c r="X15" s="241"/>
      <c r="Z15" s="213"/>
      <c r="AA15" s="213"/>
      <c r="AB15" s="213"/>
      <c r="AC15" s="213"/>
      <c r="AD15" s="213"/>
      <c r="AE15" s="213"/>
      <c r="AF15" s="213"/>
      <c r="AG15" s="213"/>
      <c r="AH15" s="213"/>
      <c r="AI15" s="263"/>
      <c r="AJ15" s="50"/>
      <c r="AN15" s="7" t="s">
        <v>137</v>
      </c>
      <c r="AO15" s="7" t="e">
        <f>CONCATENATE(VLOOKUP(G15,Překlady!C42:K45,8,0),"_",VLOOKUP(G17,Překlady!C50:D52,2,0))</f>
        <v>#N/A</v>
      </c>
      <c r="AP15" s="7" t="s">
        <v>138</v>
      </c>
    </row>
    <row r="16" spans="1:42" ht="15" customHeight="1" x14ac:dyDescent="0.25">
      <c r="B16" s="154"/>
      <c r="C16" s="17"/>
      <c r="D16" s="17"/>
      <c r="Q16" s="230"/>
      <c r="R16" s="231"/>
      <c r="S16" s="231"/>
      <c r="T16" s="232"/>
      <c r="U16" s="239"/>
      <c r="V16" s="240"/>
      <c r="W16" s="240"/>
      <c r="X16" s="241"/>
      <c r="Z16" s="213"/>
      <c r="AA16" s="213"/>
      <c r="AB16" s="213"/>
      <c r="AC16" s="213"/>
      <c r="AD16" s="213"/>
      <c r="AE16" s="213"/>
      <c r="AF16" s="213"/>
      <c r="AG16" s="213"/>
      <c r="AH16" s="213"/>
      <c r="AI16" s="263"/>
      <c r="AJ16" s="50"/>
    </row>
    <row r="17" spans="2:47" ht="15" customHeight="1" x14ac:dyDescent="0.25">
      <c r="B17" s="248" t="str">
        <f>Překlady!C48</f>
        <v>Barva:</v>
      </c>
      <c r="C17" s="201"/>
      <c r="D17" s="201"/>
      <c r="E17" s="201"/>
      <c r="G17" s="203"/>
      <c r="H17" s="203"/>
      <c r="I17" s="203"/>
      <c r="J17" s="203"/>
      <c r="K17" s="203"/>
      <c r="L17" s="203"/>
      <c r="M17" s="203"/>
      <c r="N17" s="203"/>
      <c r="O17" s="203"/>
      <c r="Q17" s="230"/>
      <c r="R17" s="231"/>
      <c r="S17" s="231"/>
      <c r="T17" s="232"/>
      <c r="U17" s="239"/>
      <c r="V17" s="240"/>
      <c r="W17" s="240"/>
      <c r="X17" s="241"/>
      <c r="Z17" s="213"/>
      <c r="AA17" s="213"/>
      <c r="AB17" s="213"/>
      <c r="AC17" s="213"/>
      <c r="AD17" s="213"/>
      <c r="AE17" s="213"/>
      <c r="AF17" s="213"/>
      <c r="AG17" s="213"/>
      <c r="AH17" s="213"/>
      <c r="AI17" s="263"/>
      <c r="AJ17" s="50"/>
    </row>
    <row r="18" spans="2:47" ht="15" customHeight="1" x14ac:dyDescent="0.25">
      <c r="B18" s="104"/>
      <c r="G18" s="307" t="str">
        <f>IFERROR((IF(VLOOKUP(G19,Produkty!B3:L50,11,0)=G17,"",Překlady!C101)),"")</f>
        <v/>
      </c>
      <c r="H18" s="307"/>
      <c r="I18" s="307"/>
      <c r="J18" s="307"/>
      <c r="K18" s="307"/>
      <c r="L18" s="307"/>
      <c r="M18" s="307"/>
      <c r="N18" s="307"/>
      <c r="O18" s="307"/>
      <c r="Q18" s="230"/>
      <c r="R18" s="231"/>
      <c r="S18" s="231"/>
      <c r="T18" s="232"/>
      <c r="U18" s="239"/>
      <c r="V18" s="240"/>
      <c r="W18" s="240"/>
      <c r="X18" s="241"/>
      <c r="Z18" s="213"/>
      <c r="AA18" s="213"/>
      <c r="AB18" s="213"/>
      <c r="AC18" s="213"/>
      <c r="AD18" s="213"/>
      <c r="AE18" s="213"/>
      <c r="AF18" s="213"/>
      <c r="AG18" s="213"/>
      <c r="AH18" s="213"/>
      <c r="AI18" s="263"/>
      <c r="AJ18" s="50"/>
    </row>
    <row r="19" spans="2:47" ht="15" customHeight="1" thickBot="1" x14ac:dyDescent="0.3">
      <c r="B19" s="248" t="str">
        <f>Překlady!C41</f>
        <v>Profil:</v>
      </c>
      <c r="C19" s="201"/>
      <c r="D19" s="201"/>
      <c r="E19" s="201"/>
      <c r="G19" s="245"/>
      <c r="H19" s="245"/>
      <c r="I19" s="245"/>
      <c r="J19" s="245"/>
      <c r="K19" s="245"/>
      <c r="L19" s="245"/>
      <c r="M19" s="245"/>
      <c r="N19" s="245"/>
      <c r="O19" s="245"/>
      <c r="Q19" s="233"/>
      <c r="R19" s="234"/>
      <c r="S19" s="234"/>
      <c r="T19" s="235"/>
      <c r="U19" s="242"/>
      <c r="V19" s="243"/>
      <c r="W19" s="243"/>
      <c r="X19" s="244"/>
      <c r="Z19" s="213"/>
      <c r="AA19" s="213"/>
      <c r="AB19" s="213"/>
      <c r="AC19" s="213"/>
      <c r="AD19" s="213"/>
      <c r="AE19" s="213"/>
      <c r="AF19" s="213"/>
      <c r="AG19" s="213"/>
      <c r="AH19" s="213"/>
      <c r="AI19" s="263"/>
      <c r="AJ19" s="50"/>
      <c r="AN19" s="7" t="s">
        <v>140</v>
      </c>
      <c r="AO19" s="7" t="str" cm="1">
        <f t="array" ref="AO19:AO21">IF(G15=Překlady!C45,"",Překlady!$C$50:$C$52)</f>
        <v>bílá</v>
      </c>
    </row>
    <row r="20" spans="2:47" ht="15" customHeight="1" x14ac:dyDescent="0.25">
      <c r="B20" s="104"/>
      <c r="G20" s="307" t="str">
        <f>IFERROR((IF(OR(AT22=$G$21,AT23=$G$21,AT24=$G$21,AT25=$G$21,AT26=$G$21),"",Překlady!C101)),"")</f>
        <v/>
      </c>
      <c r="H20" s="307"/>
      <c r="I20" s="307"/>
      <c r="J20" s="307"/>
      <c r="K20" s="307"/>
      <c r="L20" s="307"/>
      <c r="M20" s="307"/>
      <c r="N20" s="307"/>
      <c r="O20" s="307"/>
      <c r="Q20" s="264"/>
      <c r="R20" s="265"/>
      <c r="S20" s="265"/>
      <c r="T20" s="265"/>
      <c r="U20" s="265"/>
      <c r="V20" s="265"/>
      <c r="W20" s="265"/>
      <c r="X20" s="266"/>
      <c r="Z20" s="213"/>
      <c r="AA20" s="213"/>
      <c r="AB20" s="213"/>
      <c r="AC20" s="213"/>
      <c r="AD20" s="213"/>
      <c r="AE20" s="213"/>
      <c r="AF20" s="213"/>
      <c r="AG20" s="213"/>
      <c r="AH20" s="213"/>
      <c r="AI20" s="263"/>
      <c r="AJ20" s="50"/>
      <c r="AO20" s="7" t="str">
        <v>černá</v>
      </c>
    </row>
    <row r="21" spans="2:47" ht="15" customHeight="1" x14ac:dyDescent="0.25">
      <c r="B21" s="248" t="str">
        <f>Překlady!C81</f>
        <v>Délka (mm):</v>
      </c>
      <c r="C21" s="201"/>
      <c r="D21" s="201"/>
      <c r="E21" s="201"/>
      <c r="G21" s="203"/>
      <c r="H21" s="203"/>
      <c r="I21" s="203"/>
      <c r="J21" s="203"/>
      <c r="K21" s="203"/>
      <c r="L21" s="203"/>
      <c r="M21" s="203"/>
      <c r="N21" s="203"/>
      <c r="O21" s="203"/>
      <c r="Q21" s="230"/>
      <c r="R21" s="231"/>
      <c r="S21" s="231"/>
      <c r="T21" s="231"/>
      <c r="U21" s="231"/>
      <c r="V21" s="231"/>
      <c r="W21" s="231"/>
      <c r="X21" s="267"/>
      <c r="Z21" s="213"/>
      <c r="AA21" s="213"/>
      <c r="AB21" s="213"/>
      <c r="AC21" s="213"/>
      <c r="AD21" s="213"/>
      <c r="AE21" s="213"/>
      <c r="AF21" s="213"/>
      <c r="AG21" s="213"/>
      <c r="AH21" s="213"/>
      <c r="AI21" s="263"/>
      <c r="AJ21" s="50"/>
      <c r="AO21" s="7" t="str">
        <v>stříbrná</v>
      </c>
      <c r="AT21" s="17" t="s">
        <v>141</v>
      </c>
      <c r="AU21" s="7" t="e">
        <f>IF(OR(AT22=$G$21,AT23=$G$21,AT24=$G$21,AT25=$G$21),"",Překlady!D101)</f>
        <v>#N/A</v>
      </c>
    </row>
    <row r="22" spans="2:47" ht="15" customHeight="1" x14ac:dyDescent="0.25">
      <c r="B22" s="154"/>
      <c r="C22" s="17"/>
      <c r="D22" s="17"/>
      <c r="Q22" s="230"/>
      <c r="R22" s="231"/>
      <c r="S22" s="231"/>
      <c r="T22" s="231"/>
      <c r="U22" s="231"/>
      <c r="V22" s="231"/>
      <c r="W22" s="231"/>
      <c r="X22" s="267"/>
      <c r="Z22" s="213"/>
      <c r="AA22" s="213"/>
      <c r="AB22" s="213"/>
      <c r="AC22" s="213"/>
      <c r="AD22" s="213"/>
      <c r="AE22" s="213"/>
      <c r="AF22" s="213"/>
      <c r="AG22" s="213"/>
      <c r="AH22" s="213"/>
      <c r="AI22" s="263"/>
      <c r="AJ22" s="50"/>
      <c r="AP22" s="17" t="s">
        <v>142</v>
      </c>
      <c r="AQ22" s="7" t="e">
        <f>VLOOKUP(CONCATENATE(G19,"_",G21),Produkty!A3:C50,3,0)</f>
        <v>#N/A</v>
      </c>
      <c r="AS22" s="7" t="s">
        <v>143</v>
      </c>
      <c r="AT22" s="7" t="e">
        <f>VLOOKUP($G$19,Produkty!$B$3:$X$50,20,0)</f>
        <v>#N/A</v>
      </c>
    </row>
    <row r="23" spans="2:47" ht="15" customHeight="1" x14ac:dyDescent="0.25">
      <c r="B23" s="248" t="str">
        <f>Překlady!C82</f>
        <v>Množství (ks):</v>
      </c>
      <c r="C23" s="201"/>
      <c r="D23" s="201"/>
      <c r="E23" s="201"/>
      <c r="G23" s="203"/>
      <c r="H23" s="203"/>
      <c r="I23" s="203"/>
      <c r="J23" s="203"/>
      <c r="K23" s="203"/>
      <c r="L23" s="203"/>
      <c r="M23" s="203"/>
      <c r="N23" s="203"/>
      <c r="O23" s="203"/>
      <c r="Q23" s="230"/>
      <c r="R23" s="231"/>
      <c r="S23" s="231"/>
      <c r="T23" s="231"/>
      <c r="U23" s="231"/>
      <c r="V23" s="231"/>
      <c r="W23" s="231"/>
      <c r="X23" s="267"/>
      <c r="Z23" s="213"/>
      <c r="AA23" s="213"/>
      <c r="AB23" s="213"/>
      <c r="AC23" s="213"/>
      <c r="AD23" s="213"/>
      <c r="AE23" s="213"/>
      <c r="AF23" s="213"/>
      <c r="AG23" s="213"/>
      <c r="AH23" s="213"/>
      <c r="AI23" s="263"/>
      <c r="AJ23" s="50"/>
      <c r="AK23" s="7"/>
      <c r="AT23" s="7" t="e">
        <f>VLOOKUP($G$19,Produkty!$B$3:$X$50,21,0)</f>
        <v>#N/A</v>
      </c>
    </row>
    <row r="24" spans="2:47" ht="15" customHeight="1" x14ac:dyDescent="0.25">
      <c r="B24" s="154"/>
      <c r="C24" s="17"/>
      <c r="D24" s="17"/>
      <c r="G24" s="307"/>
      <c r="H24" s="307"/>
      <c r="I24" s="307"/>
      <c r="J24" s="307"/>
      <c r="K24" s="307"/>
      <c r="L24" s="307"/>
      <c r="M24" s="307"/>
      <c r="N24" s="307"/>
      <c r="O24" s="307"/>
      <c r="Q24" s="230"/>
      <c r="R24" s="231"/>
      <c r="S24" s="231"/>
      <c r="T24" s="231"/>
      <c r="U24" s="231"/>
      <c r="V24" s="231"/>
      <c r="W24" s="231"/>
      <c r="X24" s="267"/>
      <c r="Z24" s="213"/>
      <c r="AA24" s="213"/>
      <c r="AB24" s="213"/>
      <c r="AC24" s="213"/>
      <c r="AD24" s="213"/>
      <c r="AE24" s="213"/>
      <c r="AF24" s="213"/>
      <c r="AG24" s="213"/>
      <c r="AH24" s="213"/>
      <c r="AI24" s="263"/>
      <c r="AJ24" s="50"/>
      <c r="AN24" s="7" t="s">
        <v>144</v>
      </c>
      <c r="AT24" s="7" t="e">
        <f>VLOOKUP($G$19,Produkty!$B$3:$X$50,22,0)</f>
        <v>#N/A</v>
      </c>
    </row>
    <row r="25" spans="2:47" ht="15" customHeight="1" x14ac:dyDescent="0.25">
      <c r="B25" s="249" t="str">
        <f>Překlady!C63</f>
        <v>Koncovka:</v>
      </c>
      <c r="C25" s="250"/>
      <c r="D25" s="250"/>
      <c r="E25" s="250"/>
      <c r="G25" s="203"/>
      <c r="H25" s="203"/>
      <c r="I25" s="203"/>
      <c r="J25" s="203"/>
      <c r="K25" s="203"/>
      <c r="L25" s="203"/>
      <c r="M25" s="203"/>
      <c r="N25" s="203"/>
      <c r="O25" s="203"/>
      <c r="Q25" s="230"/>
      <c r="R25" s="231"/>
      <c r="S25" s="231"/>
      <c r="T25" s="231"/>
      <c r="U25" s="231"/>
      <c r="V25" s="231"/>
      <c r="W25" s="231"/>
      <c r="X25" s="267"/>
      <c r="Z25" s="213"/>
      <c r="AA25" s="213"/>
      <c r="AB25" s="213"/>
      <c r="AC25" s="213"/>
      <c r="AD25" s="213"/>
      <c r="AE25" s="213"/>
      <c r="AF25" s="213"/>
      <c r="AG25" s="213"/>
      <c r="AH25" s="213"/>
      <c r="AI25" s="263"/>
      <c r="AJ25" s="50"/>
      <c r="AN25" s="7" t="e">
        <f>VLOOKUP(AQ22,Produkty!C3:O50,13,0)</f>
        <v>#N/A</v>
      </c>
      <c r="AP25" s="17" t="s">
        <v>146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">
      <c r="B26" s="158"/>
      <c r="C26" s="159"/>
      <c r="D26" s="159"/>
      <c r="E26" s="153"/>
      <c r="G26" s="50"/>
      <c r="I26" s="50"/>
      <c r="K26" s="50"/>
      <c r="L26" s="50"/>
      <c r="M26" s="50"/>
      <c r="Q26" s="233"/>
      <c r="R26" s="234"/>
      <c r="S26" s="234"/>
      <c r="T26" s="234"/>
      <c r="U26" s="234"/>
      <c r="V26" s="234"/>
      <c r="W26" s="234"/>
      <c r="X26" s="268"/>
      <c r="Z26" s="213"/>
      <c r="AA26" s="213"/>
      <c r="AB26" s="213"/>
      <c r="AC26" s="213"/>
      <c r="AD26" s="213"/>
      <c r="AE26" s="213"/>
      <c r="AF26" s="213"/>
      <c r="AG26" s="213"/>
      <c r="AH26" s="213"/>
      <c r="AI26" s="263"/>
      <c r="AJ26" s="50"/>
    </row>
    <row r="27" spans="2:47" ht="15" customHeight="1" thickBot="1" x14ac:dyDescent="0.3">
      <c r="B27" s="249" t="str">
        <f>Překlady!C64</f>
        <v>Množství koncovek (páry):</v>
      </c>
      <c r="C27" s="250"/>
      <c r="D27" s="250"/>
      <c r="E27" s="250"/>
      <c r="G27" s="203"/>
      <c r="H27" s="203"/>
      <c r="I27" s="203"/>
      <c r="J27" s="203"/>
      <c r="K27" s="203"/>
      <c r="L27" s="203"/>
      <c r="M27" s="203"/>
      <c r="N27" s="203"/>
      <c r="O27" s="203"/>
      <c r="AA27" s="74"/>
      <c r="AB27" s="74"/>
      <c r="AC27" s="74"/>
      <c r="AD27" s="74"/>
      <c r="AE27" s="74"/>
      <c r="AF27" s="74"/>
      <c r="AG27" s="74"/>
      <c r="AI27" s="97"/>
      <c r="AN27" s="7" t="s">
        <v>147</v>
      </c>
      <c r="AO27" s="7" t="str">
        <f>IFERROR((VLOOKUP(VLOOKUP(AQ22,Produkty!C3:Q50,15,0),Produkty!A81:B99,2,0)),"")</f>
        <v/>
      </c>
      <c r="AP27" s="17" t="s">
        <v>148</v>
      </c>
      <c r="AQ27" s="7" t="e">
        <f>VLOOKUP(G25,Produkty!B80:C99,2,0)</f>
        <v>#N/A</v>
      </c>
      <c r="AS27" s="17" t="s">
        <v>149</v>
      </c>
      <c r="AT27" s="7" t="e">
        <f>VLOOKUP(G31,Produkty!B55:R78,14,0)</f>
        <v>#N/A</v>
      </c>
    </row>
    <row r="28" spans="2:47" ht="15" customHeight="1" x14ac:dyDescent="0.25">
      <c r="B28" s="104"/>
      <c r="Q28" s="219" t="str">
        <f>Překlady!C44</f>
        <v>rohová</v>
      </c>
      <c r="R28" s="220"/>
      <c r="S28" s="220"/>
      <c r="T28" s="220"/>
      <c r="U28" s="220"/>
      <c r="V28" s="220"/>
      <c r="W28" s="220"/>
      <c r="X28" s="221"/>
      <c r="Z28" s="259" t="str">
        <f>Překlady!C43</f>
        <v>k zafrézování</v>
      </c>
      <c r="AA28" s="259"/>
      <c r="AB28" s="259"/>
      <c r="AC28" s="259"/>
      <c r="AD28" s="259"/>
      <c r="AE28" s="259"/>
      <c r="AF28" s="259"/>
      <c r="AG28" s="259"/>
      <c r="AH28" s="259"/>
      <c r="AI28" s="260"/>
      <c r="AJ28" s="150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5.9" customHeight="1" x14ac:dyDescent="0.25">
      <c r="B29" s="104"/>
      <c r="G29" s="231" t="str">
        <f>IF(ISNUMBER(G27)=TRUE,Překlady!C99,"")</f>
        <v/>
      </c>
      <c r="H29" s="231"/>
      <c r="I29" s="231"/>
      <c r="J29" s="231"/>
      <c r="K29" s="231"/>
      <c r="L29" s="231"/>
      <c r="M29" s="231"/>
      <c r="N29" s="231"/>
      <c r="O29" s="231"/>
      <c r="Q29" s="222" t="s">
        <v>150</v>
      </c>
      <c r="R29" s="223"/>
      <c r="S29" s="223"/>
      <c r="T29" s="224"/>
      <c r="U29" s="225" t="s">
        <v>151</v>
      </c>
      <c r="V29" s="223"/>
      <c r="W29" s="223"/>
      <c r="X29" s="226"/>
      <c r="Z29" s="261" t="s">
        <v>152</v>
      </c>
      <c r="AA29" s="261"/>
      <c r="AB29" s="261"/>
      <c r="AC29" s="261"/>
      <c r="AD29" s="261"/>
      <c r="AE29" s="261"/>
      <c r="AF29" s="261"/>
      <c r="AG29" s="261"/>
      <c r="AH29" s="261"/>
      <c r="AI29" s="262"/>
      <c r="AJ29" s="102"/>
      <c r="AP29" s="270" t="s">
        <v>153</v>
      </c>
      <c r="AQ29" s="160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25">
      <c r="B30" s="104"/>
      <c r="C30" s="161"/>
      <c r="D30" s="162"/>
      <c r="G30" s="231"/>
      <c r="H30" s="231"/>
      <c r="I30" s="231"/>
      <c r="J30" s="231"/>
      <c r="K30" s="231"/>
      <c r="L30" s="231"/>
      <c r="M30" s="231"/>
      <c r="N30" s="231"/>
      <c r="O30" s="231"/>
      <c r="Q30" s="305"/>
      <c r="R30" s="237"/>
      <c r="S30" s="237"/>
      <c r="T30" s="308"/>
      <c r="U30" s="314"/>
      <c r="V30" s="228"/>
      <c r="W30" s="228"/>
      <c r="X30" s="315"/>
      <c r="Z30" s="213"/>
      <c r="AA30" s="213"/>
      <c r="AB30" s="213"/>
      <c r="AC30" s="213"/>
      <c r="AD30" s="213"/>
      <c r="AE30" s="213"/>
      <c r="AF30" s="213"/>
      <c r="AG30" s="213"/>
      <c r="AH30" s="213"/>
      <c r="AI30" s="263"/>
      <c r="AJ30" s="50"/>
      <c r="AP30" s="270"/>
      <c r="AQ30" s="160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25">
      <c r="B31" s="249" t="str">
        <f>Překlady!C55</f>
        <v>Krycí lišta:</v>
      </c>
      <c r="C31" s="250"/>
      <c r="D31" s="250"/>
      <c r="E31" s="250"/>
      <c r="G31" s="269"/>
      <c r="H31" s="269"/>
      <c r="I31" s="269"/>
      <c r="J31" s="269"/>
      <c r="K31" s="269"/>
      <c r="L31" s="269"/>
      <c r="M31" s="269"/>
      <c r="N31" s="269"/>
      <c r="O31" s="269"/>
      <c r="Q31" s="309"/>
      <c r="R31" s="240"/>
      <c r="S31" s="240"/>
      <c r="T31" s="310"/>
      <c r="U31" s="316"/>
      <c r="V31" s="231"/>
      <c r="W31" s="231"/>
      <c r="X31" s="267"/>
      <c r="Z31" s="213"/>
      <c r="AA31" s="213"/>
      <c r="AB31" s="213"/>
      <c r="AC31" s="213"/>
      <c r="AD31" s="213"/>
      <c r="AE31" s="213"/>
      <c r="AF31" s="213"/>
      <c r="AG31" s="213"/>
      <c r="AH31" s="213"/>
      <c r="AI31" s="263"/>
      <c r="AJ31" s="50"/>
    </row>
    <row r="32" spans="2:47" ht="15" customHeight="1" x14ac:dyDescent="0.25">
      <c r="B32" s="104"/>
      <c r="G32" s="269"/>
      <c r="H32" s="269"/>
      <c r="I32" s="269"/>
      <c r="J32" s="269"/>
      <c r="K32" s="269"/>
      <c r="L32" s="269"/>
      <c r="M32" s="269"/>
      <c r="N32" s="269"/>
      <c r="O32" s="269"/>
      <c r="Q32" s="309"/>
      <c r="R32" s="240"/>
      <c r="S32" s="240"/>
      <c r="T32" s="310"/>
      <c r="U32" s="316"/>
      <c r="V32" s="231"/>
      <c r="W32" s="231"/>
      <c r="X32" s="267"/>
      <c r="Z32" s="213"/>
      <c r="AA32" s="213"/>
      <c r="AB32" s="213"/>
      <c r="AC32" s="213"/>
      <c r="AD32" s="213"/>
      <c r="AE32" s="213"/>
      <c r="AF32" s="213"/>
      <c r="AG32" s="213"/>
      <c r="AH32" s="213"/>
      <c r="AI32" s="263"/>
      <c r="AJ32" s="50"/>
    </row>
    <row r="33" spans="2:40" ht="15" customHeight="1" x14ac:dyDescent="0.25">
      <c r="B33" s="104"/>
      <c r="Q33" s="309"/>
      <c r="R33" s="240"/>
      <c r="S33" s="240"/>
      <c r="T33" s="310"/>
      <c r="U33" s="316"/>
      <c r="V33" s="231"/>
      <c r="W33" s="231"/>
      <c r="X33" s="267"/>
      <c r="Z33" s="213"/>
      <c r="AA33" s="213"/>
      <c r="AB33" s="213"/>
      <c r="AC33" s="213"/>
      <c r="AD33" s="213"/>
      <c r="AE33" s="213"/>
      <c r="AF33" s="213"/>
      <c r="AG33" s="213"/>
      <c r="AH33" s="213"/>
      <c r="AI33" s="263"/>
      <c r="AJ33" s="50"/>
    </row>
    <row r="34" spans="2:40" ht="15" customHeight="1" x14ac:dyDescent="0.25">
      <c r="B34" s="249" t="str">
        <f>Překlady!C81</f>
        <v>Délka (mm):</v>
      </c>
      <c r="C34" s="250"/>
      <c r="D34" s="250"/>
      <c r="E34" s="250"/>
      <c r="G34" s="203"/>
      <c r="H34" s="203"/>
      <c r="I34" s="203"/>
      <c r="J34" s="203"/>
      <c r="K34" s="203"/>
      <c r="L34" s="203"/>
      <c r="M34" s="203"/>
      <c r="N34" s="203"/>
      <c r="O34" s="203"/>
      <c r="Q34" s="309"/>
      <c r="R34" s="240"/>
      <c r="S34" s="240"/>
      <c r="T34" s="310"/>
      <c r="U34" s="316"/>
      <c r="V34" s="231"/>
      <c r="W34" s="231"/>
      <c r="X34" s="267"/>
      <c r="Z34" s="213"/>
      <c r="AA34" s="213"/>
      <c r="AB34" s="213"/>
      <c r="AC34" s="213"/>
      <c r="AD34" s="213"/>
      <c r="AE34" s="213"/>
      <c r="AF34" s="213"/>
      <c r="AG34" s="213"/>
      <c r="AH34" s="213"/>
      <c r="AI34" s="263"/>
      <c r="AJ34" s="50"/>
    </row>
    <row r="35" spans="2:40" ht="15" customHeight="1" x14ac:dyDescent="0.25">
      <c r="B35" s="158"/>
      <c r="C35" s="159"/>
      <c r="D35" s="159"/>
      <c r="F35" s="50"/>
      <c r="G35" s="50"/>
      <c r="H35" s="50"/>
      <c r="Q35" s="309"/>
      <c r="R35" s="240"/>
      <c r="S35" s="240"/>
      <c r="T35" s="310"/>
      <c r="U35" s="316"/>
      <c r="V35" s="231"/>
      <c r="W35" s="231"/>
      <c r="X35" s="267"/>
      <c r="Z35" s="213"/>
      <c r="AA35" s="213"/>
      <c r="AB35" s="213"/>
      <c r="AC35" s="213"/>
      <c r="AD35" s="213"/>
      <c r="AE35" s="213"/>
      <c r="AF35" s="213"/>
      <c r="AG35" s="213"/>
      <c r="AH35" s="213"/>
      <c r="AI35" s="263"/>
      <c r="AJ35" s="50"/>
    </row>
    <row r="36" spans="2:40" ht="15" customHeight="1" x14ac:dyDescent="0.25">
      <c r="B36" s="248" t="str">
        <f>Překlady!C82</f>
        <v>Množství (ks):</v>
      </c>
      <c r="C36" s="201"/>
      <c r="D36" s="201"/>
      <c r="E36" s="201"/>
      <c r="G36" s="203"/>
      <c r="H36" s="203"/>
      <c r="I36" s="203"/>
      <c r="J36" s="203"/>
      <c r="K36" s="203"/>
      <c r="L36" s="203"/>
      <c r="M36" s="203"/>
      <c r="N36" s="203"/>
      <c r="O36" s="203"/>
      <c r="Q36" s="311"/>
      <c r="R36" s="312"/>
      <c r="S36" s="312"/>
      <c r="T36" s="313"/>
      <c r="U36" s="317"/>
      <c r="V36" s="318"/>
      <c r="W36" s="318"/>
      <c r="X36" s="319"/>
      <c r="Z36" s="213"/>
      <c r="AA36" s="213"/>
      <c r="AB36" s="213"/>
      <c r="AC36" s="213"/>
      <c r="AD36" s="213"/>
      <c r="AE36" s="213"/>
      <c r="AF36" s="213"/>
      <c r="AG36" s="213"/>
      <c r="AH36" s="213"/>
      <c r="AI36" s="263"/>
      <c r="AJ36" s="50"/>
      <c r="AK36" s="140" t="s">
        <v>42</v>
      </c>
      <c r="AL36" s="7" t="str">
        <f>Překlady!$C$13</f>
        <v>rovný</v>
      </c>
      <c r="AM36" s="7">
        <v>1</v>
      </c>
    </row>
    <row r="37" spans="2:40" ht="15" customHeight="1" x14ac:dyDescent="0.25">
      <c r="B37" s="104"/>
      <c r="Q37" s="227"/>
      <c r="R37" s="228"/>
      <c r="S37" s="228"/>
      <c r="T37" s="228"/>
      <c r="U37" s="228"/>
      <c r="V37" s="228"/>
      <c r="W37" s="228"/>
      <c r="X37" s="315"/>
      <c r="Z37" s="261"/>
      <c r="AA37" s="261"/>
      <c r="AB37" s="261"/>
      <c r="AC37" s="261"/>
      <c r="AD37" s="261"/>
      <c r="AE37" s="261"/>
      <c r="AF37" s="261"/>
      <c r="AG37" s="261"/>
      <c r="AH37" s="261"/>
      <c r="AI37" s="262"/>
      <c r="AJ37" s="102"/>
      <c r="AL37" s="7" t="str">
        <f>Překlady!$C$14</f>
        <v>rohový</v>
      </c>
      <c r="AM37" s="7">
        <v>2</v>
      </c>
    </row>
    <row r="38" spans="2:40" ht="15" customHeight="1" x14ac:dyDescent="0.25">
      <c r="B38" s="248" t="str">
        <f>Překlady!C109</f>
        <v>Montáž profilu:</v>
      </c>
      <c r="C38" s="201"/>
      <c r="D38" s="201"/>
      <c r="E38" s="201" t="str">
        <f>Překlady!C109</f>
        <v>Montáž profilu:</v>
      </c>
      <c r="G38" s="203"/>
      <c r="H38" s="203"/>
      <c r="I38" s="203"/>
      <c r="J38" s="203"/>
      <c r="K38" s="203"/>
      <c r="L38" s="203"/>
      <c r="M38" s="203"/>
      <c r="N38" s="203"/>
      <c r="O38" s="203"/>
      <c r="Q38" s="230"/>
      <c r="R38" s="231"/>
      <c r="S38" s="231"/>
      <c r="T38" s="231"/>
      <c r="U38" s="231"/>
      <c r="V38" s="231"/>
      <c r="W38" s="231"/>
      <c r="X38" s="267"/>
      <c r="Z38" s="261"/>
      <c r="AA38" s="261"/>
      <c r="AB38" s="261"/>
      <c r="AC38" s="261"/>
      <c r="AD38" s="261"/>
      <c r="AE38" s="261"/>
      <c r="AF38" s="261"/>
      <c r="AG38" s="261"/>
      <c r="AH38" s="261"/>
      <c r="AI38" s="262"/>
      <c r="AJ38" s="102"/>
      <c r="AK38" s="140" t="s">
        <v>778</v>
      </c>
      <c r="AL38" s="7" t="str">
        <f>Překlady!$C$15</f>
        <v>ano</v>
      </c>
      <c r="AM38" s="7">
        <v>3</v>
      </c>
    </row>
    <row r="39" spans="2:40" ht="15" customHeight="1" x14ac:dyDescent="0.25">
      <c r="B39" s="104"/>
      <c r="Q39" s="230"/>
      <c r="R39" s="231"/>
      <c r="S39" s="231"/>
      <c r="T39" s="231"/>
      <c r="U39" s="231"/>
      <c r="V39" s="231"/>
      <c r="W39" s="231"/>
      <c r="X39" s="267"/>
      <c r="Z39" s="261"/>
      <c r="AA39" s="261"/>
      <c r="AB39" s="261"/>
      <c r="AC39" s="261"/>
      <c r="AD39" s="261"/>
      <c r="AE39" s="261"/>
      <c r="AF39" s="261"/>
      <c r="AG39" s="261"/>
      <c r="AH39" s="261"/>
      <c r="AI39" s="262"/>
      <c r="AJ39" s="102"/>
      <c r="AL39" s="7" t="str">
        <f>Překlady!$C$16</f>
        <v>ne</v>
      </c>
      <c r="AM39" s="7">
        <v>4</v>
      </c>
    </row>
    <row r="40" spans="2:40" ht="15" customHeight="1" x14ac:dyDescent="0.25">
      <c r="B40" s="163"/>
      <c r="C40" s="164"/>
      <c r="D40" s="164"/>
      <c r="E40" s="164"/>
      <c r="Q40" s="230"/>
      <c r="R40" s="231"/>
      <c r="S40" s="231"/>
      <c r="T40" s="231"/>
      <c r="U40" s="231"/>
      <c r="V40" s="231"/>
      <c r="W40" s="231"/>
      <c r="X40" s="267"/>
      <c r="Z40" s="261"/>
      <c r="AA40" s="261"/>
      <c r="AB40" s="261"/>
      <c r="AC40" s="261"/>
      <c r="AD40" s="261"/>
      <c r="AE40" s="261"/>
      <c r="AF40" s="261"/>
      <c r="AG40" s="261"/>
      <c r="AH40" s="261"/>
      <c r="AI40" s="262"/>
      <c r="AJ40" s="102"/>
    </row>
    <row r="41" spans="2:40" ht="15" customHeight="1" x14ac:dyDescent="0.25">
      <c r="B41" s="104"/>
      <c r="Q41" s="230"/>
      <c r="R41" s="231"/>
      <c r="S41" s="231"/>
      <c r="T41" s="231"/>
      <c r="U41" s="231"/>
      <c r="V41" s="231"/>
      <c r="W41" s="231"/>
      <c r="X41" s="267"/>
      <c r="Z41" s="261"/>
      <c r="AA41" s="261"/>
      <c r="AB41" s="261"/>
      <c r="AC41" s="261"/>
      <c r="AD41" s="261"/>
      <c r="AE41" s="261"/>
      <c r="AF41" s="261"/>
      <c r="AG41" s="261"/>
      <c r="AH41" s="261"/>
      <c r="AI41" s="262"/>
      <c r="AJ41" s="102"/>
    </row>
    <row r="42" spans="2:40" ht="15" customHeight="1" x14ac:dyDescent="0.25">
      <c r="B42" s="104"/>
      <c r="Q42" s="230"/>
      <c r="R42" s="231"/>
      <c r="S42" s="231"/>
      <c r="T42" s="231"/>
      <c r="U42" s="231"/>
      <c r="V42" s="231"/>
      <c r="W42" s="231"/>
      <c r="X42" s="267"/>
      <c r="Z42" s="261"/>
      <c r="AA42" s="261"/>
      <c r="AB42" s="261"/>
      <c r="AC42" s="261"/>
      <c r="AD42" s="261"/>
      <c r="AE42" s="261"/>
      <c r="AF42" s="261"/>
      <c r="AG42" s="261"/>
      <c r="AH42" s="261"/>
      <c r="AI42" s="262"/>
      <c r="AJ42" s="102"/>
      <c r="AN42" s="17"/>
    </row>
    <row r="43" spans="2:40" ht="15" customHeight="1" x14ac:dyDescent="0.25">
      <c r="B43" s="104"/>
      <c r="Q43" s="230"/>
      <c r="R43" s="231"/>
      <c r="S43" s="231"/>
      <c r="T43" s="231"/>
      <c r="U43" s="231"/>
      <c r="V43" s="231"/>
      <c r="W43" s="231"/>
      <c r="X43" s="267"/>
      <c r="Z43" s="261"/>
      <c r="AA43" s="261"/>
      <c r="AB43" s="261"/>
      <c r="AC43" s="261"/>
      <c r="AD43" s="261"/>
      <c r="AE43" s="261"/>
      <c r="AF43" s="261"/>
      <c r="AG43" s="261"/>
      <c r="AH43" s="261"/>
      <c r="AI43" s="262"/>
      <c r="AJ43" s="102"/>
      <c r="AN43" s="17"/>
    </row>
    <row r="44" spans="2:40" ht="15" customHeight="1" thickBot="1" x14ac:dyDescent="0.3">
      <c r="B44" s="104"/>
      <c r="Q44" s="233"/>
      <c r="R44" s="234"/>
      <c r="S44" s="234"/>
      <c r="T44" s="234"/>
      <c r="U44" s="234"/>
      <c r="V44" s="234"/>
      <c r="W44" s="234"/>
      <c r="X44" s="268"/>
      <c r="Z44" s="261"/>
      <c r="AA44" s="261"/>
      <c r="AB44" s="261"/>
      <c r="AC44" s="261"/>
      <c r="AD44" s="261"/>
      <c r="AE44" s="261"/>
      <c r="AF44" s="261"/>
      <c r="AG44" s="261"/>
      <c r="AH44" s="261"/>
      <c r="AI44" s="262"/>
      <c r="AJ44" s="102"/>
      <c r="AN44" s="17"/>
    </row>
    <row r="45" spans="2:40" ht="15" customHeight="1" x14ac:dyDescent="0.25">
      <c r="B45" s="104"/>
      <c r="Z45" s="261"/>
      <c r="AA45" s="261"/>
      <c r="AB45" s="261"/>
      <c r="AC45" s="261"/>
      <c r="AD45" s="261"/>
      <c r="AE45" s="261"/>
      <c r="AF45" s="261"/>
      <c r="AG45" s="261"/>
      <c r="AH45" s="261"/>
      <c r="AI45" s="262"/>
      <c r="AJ45" s="102"/>
      <c r="AL45" s="17"/>
    </row>
    <row r="46" spans="2:40" ht="15" customHeight="1" x14ac:dyDescent="0.25">
      <c r="B46" s="104"/>
      <c r="Z46" s="261"/>
      <c r="AA46" s="261"/>
      <c r="AB46" s="261"/>
      <c r="AC46" s="261"/>
      <c r="AD46" s="261"/>
      <c r="AE46" s="261"/>
      <c r="AF46" s="261"/>
      <c r="AG46" s="261"/>
      <c r="AH46" s="261"/>
      <c r="AI46" s="262"/>
      <c r="AJ46" s="102"/>
      <c r="AK46" s="141"/>
      <c r="AL46" s="18"/>
    </row>
    <row r="47" spans="2:40" ht="15" customHeight="1" x14ac:dyDescent="0.25">
      <c r="B47" s="104"/>
      <c r="Z47" s="261"/>
      <c r="AA47" s="261"/>
      <c r="AB47" s="261"/>
      <c r="AC47" s="261"/>
      <c r="AD47" s="261"/>
      <c r="AE47" s="261"/>
      <c r="AF47" s="261"/>
      <c r="AG47" s="261"/>
      <c r="AH47" s="261"/>
      <c r="AI47" s="262"/>
      <c r="AJ47" s="102"/>
      <c r="AK47" s="141"/>
      <c r="AL47" s="18"/>
    </row>
    <row r="48" spans="2:40" ht="15" customHeight="1" x14ac:dyDescent="0.25">
      <c r="B48" s="104"/>
      <c r="Z48" s="261"/>
      <c r="AA48" s="261"/>
      <c r="AB48" s="261"/>
      <c r="AC48" s="261"/>
      <c r="AD48" s="261"/>
      <c r="AE48" s="261"/>
      <c r="AF48" s="261"/>
      <c r="AG48" s="261"/>
      <c r="AH48" s="261"/>
      <c r="AI48" s="262"/>
      <c r="AJ48" s="102"/>
      <c r="AL48" s="17"/>
    </row>
    <row r="49" spans="2:84" ht="15" customHeight="1" x14ac:dyDescent="0.25">
      <c r="B49" s="104"/>
      <c r="Z49" s="261"/>
      <c r="AA49" s="261"/>
      <c r="AB49" s="261"/>
      <c r="AC49" s="261"/>
      <c r="AD49" s="261"/>
      <c r="AE49" s="261"/>
      <c r="AF49" s="261"/>
      <c r="AG49" s="261"/>
      <c r="AH49" s="261"/>
      <c r="AI49" s="262"/>
      <c r="AJ49" s="102"/>
      <c r="AL49" s="17"/>
    </row>
    <row r="50" spans="2:84" ht="15" customHeight="1" x14ac:dyDescent="0.25">
      <c r="B50" s="104"/>
      <c r="Z50" s="261"/>
      <c r="AA50" s="261"/>
      <c r="AB50" s="261"/>
      <c r="AC50" s="261"/>
      <c r="AD50" s="261"/>
      <c r="AE50" s="261"/>
      <c r="AF50" s="261"/>
      <c r="AG50" s="261"/>
      <c r="AH50" s="261"/>
      <c r="AI50" s="262"/>
      <c r="AJ50" s="102"/>
      <c r="AL50" s="17"/>
    </row>
    <row r="51" spans="2:84" ht="15" customHeight="1" x14ac:dyDescent="0.25">
      <c r="B51" s="104"/>
      <c r="N51" s="50"/>
      <c r="Z51" s="261"/>
      <c r="AA51" s="261"/>
      <c r="AB51" s="261"/>
      <c r="AC51" s="261"/>
      <c r="AD51" s="261"/>
      <c r="AE51" s="261"/>
      <c r="AF51" s="261"/>
      <c r="AG51" s="261"/>
      <c r="AH51" s="261"/>
      <c r="AI51" s="262"/>
      <c r="AJ51" s="102"/>
      <c r="AL51" s="17"/>
    </row>
    <row r="52" spans="2:84" ht="15" customHeight="1" x14ac:dyDescent="0.25">
      <c r="B52" s="104"/>
      <c r="N52" s="50"/>
      <c r="Z52" s="261"/>
      <c r="AA52" s="261"/>
      <c r="AB52" s="261"/>
      <c r="AC52" s="261"/>
      <c r="AD52" s="261"/>
      <c r="AE52" s="261"/>
      <c r="AF52" s="261"/>
      <c r="AG52" s="261"/>
      <c r="AH52" s="261"/>
      <c r="AI52" s="262"/>
      <c r="AJ52" s="102"/>
      <c r="AL52" s="17"/>
    </row>
    <row r="53" spans="2:84" ht="15" customHeight="1" thickBot="1" x14ac:dyDescent="0.3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6"/>
      <c r="M53" s="156"/>
      <c r="N53" s="156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272"/>
      <c r="AA53" s="272"/>
      <c r="AB53" s="272"/>
      <c r="AC53" s="272"/>
      <c r="AD53" s="272"/>
      <c r="AE53" s="272"/>
      <c r="AF53" s="272"/>
      <c r="AG53" s="272"/>
      <c r="AH53" s="272"/>
      <c r="AI53" s="273"/>
      <c r="AJ53" s="102"/>
      <c r="AL53" s="17"/>
    </row>
    <row r="54" spans="2:84" ht="7.5" customHeight="1" x14ac:dyDescent="0.25">
      <c r="AL54" s="17"/>
    </row>
    <row r="55" spans="2:84" ht="7.5" customHeight="1" thickBot="1" x14ac:dyDescent="0.3">
      <c r="B55" s="165"/>
      <c r="C55" s="165"/>
      <c r="D55" s="165"/>
      <c r="E55" s="165"/>
      <c r="H55" s="165"/>
      <c r="I55" s="165"/>
      <c r="J55" s="165"/>
      <c r="K55" s="165"/>
      <c r="N55" s="165"/>
      <c r="O55" s="165"/>
      <c r="P55" s="165"/>
      <c r="Q55" s="165"/>
      <c r="R55" s="50"/>
      <c r="T55" s="165"/>
      <c r="U55" s="165"/>
      <c r="V55" s="165"/>
      <c r="W55" s="165"/>
    </row>
    <row r="56" spans="2:84" ht="15" customHeight="1" x14ac:dyDescent="0.25">
      <c r="B56" s="166"/>
      <c r="C56" s="167"/>
      <c r="D56" s="167"/>
      <c r="E56" s="167"/>
      <c r="F56" s="93"/>
      <c r="G56" s="93"/>
      <c r="H56" s="167"/>
      <c r="I56" s="167"/>
      <c r="J56" s="167"/>
      <c r="K56" s="167"/>
      <c r="L56" s="93"/>
      <c r="M56" s="93"/>
      <c r="N56" s="167"/>
      <c r="O56" s="167"/>
      <c r="P56" s="167"/>
      <c r="Q56" s="167"/>
      <c r="R56" s="157"/>
      <c r="S56" s="93"/>
      <c r="T56" s="167"/>
      <c r="U56" s="167"/>
      <c r="V56" s="167"/>
      <c r="W56" s="167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84" ht="17.25" customHeight="1" x14ac:dyDescent="0.25">
      <c r="B57" s="283" t="str">
        <f>Překlady!C53</f>
        <v>Definujte tvar sestavy:</v>
      </c>
      <c r="C57" s="284"/>
      <c r="D57" s="284"/>
      <c r="E57" s="284"/>
      <c r="F57" s="153"/>
      <c r="G57" s="153"/>
      <c r="H57" s="153"/>
      <c r="I57" s="153"/>
      <c r="J57" s="50"/>
      <c r="K57" s="50"/>
      <c r="N57" s="50"/>
      <c r="O57" s="50"/>
      <c r="P57" s="50"/>
      <c r="Q57" s="50"/>
      <c r="R57" s="50"/>
      <c r="S57" s="212" t="str">
        <f>IF(AL63=TRUE,Překlady!C12,"")</f>
        <v/>
      </c>
      <c r="T57" s="212"/>
      <c r="U57" s="212"/>
      <c r="V57" s="50"/>
      <c r="W57" s="50"/>
      <c r="X57" s="50"/>
      <c r="Y57" s="271"/>
      <c r="AI57" s="97"/>
      <c r="BJ57" s="17" t="s">
        <v>5799</v>
      </c>
      <c r="BK57" s="7" t="str">
        <f>IF(OR(G21=I72,G21=I73,G21=O72,G21=O73),"ano","ne")</f>
        <v>ano</v>
      </c>
      <c r="BU57" s="169" t="s">
        <v>5816</v>
      </c>
      <c r="BV57" s="169"/>
    </row>
    <row r="58" spans="2:84" ht="18" customHeight="1" x14ac:dyDescent="0.25">
      <c r="B58" s="283"/>
      <c r="C58" s="284"/>
      <c r="D58" s="284"/>
      <c r="E58" s="284"/>
      <c r="F58" s="153"/>
      <c r="G58" s="153"/>
      <c r="H58" s="153"/>
      <c r="I58" s="153"/>
      <c r="J58" s="50"/>
      <c r="K58" s="50"/>
      <c r="N58" s="50"/>
      <c r="O58" s="50"/>
      <c r="P58" s="50"/>
      <c r="Q58" s="50"/>
      <c r="R58" s="50"/>
      <c r="V58" s="50"/>
      <c r="Y58" s="271"/>
      <c r="AI58" s="97"/>
      <c r="BS58" s="251" t="s">
        <v>201</v>
      </c>
      <c r="BT58" s="251" t="s">
        <v>202</v>
      </c>
      <c r="BU58" s="251" t="s">
        <v>204</v>
      </c>
      <c r="BV58" s="252" t="s">
        <v>1357</v>
      </c>
      <c r="BW58" s="252" t="s">
        <v>1351</v>
      </c>
      <c r="BX58" s="252" t="s">
        <v>2405</v>
      </c>
      <c r="BY58" s="252" t="s">
        <v>197</v>
      </c>
      <c r="BZ58" s="252" t="s">
        <v>3108</v>
      </c>
      <c r="CA58" s="252" t="s">
        <v>1273</v>
      </c>
    </row>
    <row r="59" spans="2:84" ht="7.5" customHeight="1" x14ac:dyDescent="0.25">
      <c r="B59" s="283"/>
      <c r="C59" s="284"/>
      <c r="D59" s="284"/>
      <c r="E59" s="284"/>
      <c r="AI59" s="97"/>
      <c r="BS59" s="251"/>
      <c r="BT59" s="251"/>
      <c r="BU59" s="251"/>
      <c r="BV59" s="252"/>
      <c r="BW59" s="252"/>
      <c r="BX59" s="252"/>
      <c r="BY59" s="252"/>
      <c r="BZ59" s="252"/>
      <c r="CA59" s="252"/>
    </row>
    <row r="60" spans="2:84" ht="13.5" customHeight="1" x14ac:dyDescent="0.25">
      <c r="B60" s="104"/>
      <c r="U60" s="170" t="s">
        <v>20</v>
      </c>
      <c r="W60" s="168" t="s">
        <v>20</v>
      </c>
      <c r="Y60" s="170" t="s">
        <v>154</v>
      </c>
      <c r="AI60" s="97"/>
      <c r="AK60" s="171" t="s">
        <v>155</v>
      </c>
      <c r="AL60" s="274" t="s">
        <v>156</v>
      </c>
      <c r="AM60" s="152" t="e">
        <f>VLOOKUP(AM66,BB64:BC72,2,0)</f>
        <v>#N/A</v>
      </c>
      <c r="BS60" s="251"/>
      <c r="BT60" s="251"/>
      <c r="BU60" s="251"/>
      <c r="BV60" s="252"/>
      <c r="BW60" s="252"/>
      <c r="BX60" s="252"/>
      <c r="BY60" s="252"/>
      <c r="BZ60" s="252"/>
      <c r="CA60" s="252"/>
    </row>
    <row r="61" spans="2:84" ht="18" customHeight="1" x14ac:dyDescent="0.25">
      <c r="B61" s="104"/>
      <c r="W61" s="172"/>
      <c r="AI61" s="97"/>
      <c r="AK61" s="171" t="s">
        <v>157</v>
      </c>
      <c r="AL61" s="213"/>
      <c r="AM61" s="152" t="e">
        <f>VLOOKUP(AM66,BB64:BD72,3,0)</f>
        <v>#N/A</v>
      </c>
      <c r="BJ61" s="7" t="str">
        <f>CONCATENATE(G63,"_",G65,"_",G67,"_",P65)</f>
        <v>___</v>
      </c>
      <c r="BK61" s="50" t="s">
        <v>5796</v>
      </c>
      <c r="BL61" s="50" t="s">
        <v>5797</v>
      </c>
      <c r="BM61" s="252" t="s">
        <v>5807</v>
      </c>
      <c r="BN61" s="252" t="s">
        <v>5808</v>
      </c>
      <c r="BO61" s="252" t="s">
        <v>5809</v>
      </c>
      <c r="BP61" s="252" t="s">
        <v>5810</v>
      </c>
      <c r="BQ61" s="252" t="s">
        <v>5811</v>
      </c>
      <c r="BR61" s="258" t="s">
        <v>5812</v>
      </c>
      <c r="BS61" s="251"/>
      <c r="BT61" s="251"/>
      <c r="BU61" s="251"/>
      <c r="BV61" s="252"/>
      <c r="BW61" s="252"/>
      <c r="BX61" s="252"/>
      <c r="BY61" s="252"/>
      <c r="BZ61" s="252"/>
      <c r="CA61" s="252"/>
    </row>
    <row r="62" spans="2:84" ht="10.5" customHeight="1" x14ac:dyDescent="0.25">
      <c r="B62" s="104"/>
      <c r="S62" s="22"/>
      <c r="W62" s="168"/>
      <c r="AI62" s="97"/>
      <c r="BJ62" s="7" t="s">
        <v>5795</v>
      </c>
      <c r="BK62" s="50">
        <v>391584</v>
      </c>
      <c r="BL62" s="50">
        <v>208204</v>
      </c>
      <c r="BM62" s="252"/>
      <c r="BN62" s="252"/>
      <c r="BO62" s="252"/>
      <c r="BP62" s="252"/>
      <c r="BQ62" s="252"/>
      <c r="BR62" s="258"/>
      <c r="BS62" s="251"/>
      <c r="BT62" s="251"/>
      <c r="BU62" s="251"/>
      <c r="BV62" s="252"/>
      <c r="BW62" s="252"/>
      <c r="BX62" s="252"/>
      <c r="BY62" s="252"/>
      <c r="BZ62" s="252"/>
      <c r="CA62" s="252"/>
    </row>
    <row r="63" spans="2:84" ht="15.75" x14ac:dyDescent="0.25">
      <c r="B63" s="173"/>
      <c r="C63" s="174"/>
      <c r="D63" s="174"/>
      <c r="E63" s="89" t="str">
        <f>Překlady!C12</f>
        <v>Tvar sestavy:</v>
      </c>
      <c r="G63" s="203"/>
      <c r="H63" s="203"/>
      <c r="I63" s="203"/>
      <c r="J63" s="203"/>
      <c r="K63" s="203"/>
      <c r="AI63" s="97"/>
      <c r="AK63" s="140" t="s">
        <v>158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159</v>
      </c>
      <c r="AW63" s="7">
        <f>IF(AND(G63=Překlady!C14,G65=Překlady!C15),1,0)</f>
        <v>0</v>
      </c>
      <c r="AZ63" s="7" t="s">
        <v>24</v>
      </c>
      <c r="BA63" s="7" t="s">
        <v>25</v>
      </c>
      <c r="BC63" s="152" t="s">
        <v>155</v>
      </c>
      <c r="BD63" s="152" t="s">
        <v>157</v>
      </c>
      <c r="BJ63" s="7" t="str">
        <f>CONCATENATE(Překlady!$C$13,"_",Překlady!$C$16,"_",Překlady!$C$34,"_")</f>
        <v>rovný_ne_vlevo_</v>
      </c>
      <c r="BK63" s="50">
        <f>IF($BK$57="ano",0,1)</f>
        <v>0</v>
      </c>
      <c r="BL63" s="50">
        <v>1</v>
      </c>
      <c r="BM63" s="7" t="s">
        <v>5814</v>
      </c>
      <c r="BN63" s="7">
        <v>543616</v>
      </c>
      <c r="BO63" s="7">
        <v>543616</v>
      </c>
      <c r="BP63" s="7">
        <v>543616</v>
      </c>
      <c r="BQ63" s="7">
        <v>543616</v>
      </c>
      <c r="BR63" s="7">
        <v>543616</v>
      </c>
      <c r="BS63" s="7">
        <v>543616</v>
      </c>
      <c r="BT63" s="7">
        <v>543616</v>
      </c>
      <c r="BU63" s="7">
        <v>543616</v>
      </c>
      <c r="BV63" s="7">
        <v>543616</v>
      </c>
      <c r="BW63" s="7">
        <v>543616</v>
      </c>
      <c r="BX63" s="7">
        <v>543616</v>
      </c>
      <c r="BY63" s="7">
        <v>543616</v>
      </c>
      <c r="BZ63" s="7">
        <v>543616</v>
      </c>
      <c r="CA63" s="7">
        <v>543616</v>
      </c>
      <c r="CF63" s="7" t="s">
        <v>5788</v>
      </c>
    </row>
    <row r="64" spans="2:84" ht="15" x14ac:dyDescent="0.25">
      <c r="B64" s="104"/>
      <c r="AC64" s="271" t="s">
        <v>160</v>
      </c>
      <c r="AF64" s="172"/>
      <c r="AI64" s="97"/>
      <c r="AK64" s="140" t="s">
        <v>161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J64" s="7" t="str">
        <f>CONCATENATE(Překlady!$C$13,"_",Překlady!$C$16,"_",Překlady!$C$35,"_")</f>
        <v>rovný_ne_vpravo_</v>
      </c>
      <c r="BK64" s="50">
        <f>IF($BK$57="ano",0,1)</f>
        <v>0</v>
      </c>
      <c r="BL64" s="50">
        <v>1</v>
      </c>
      <c r="BM64" s="7" t="s">
        <v>5814</v>
      </c>
      <c r="BN64" s="7">
        <v>543616</v>
      </c>
      <c r="BO64" s="7">
        <v>543616</v>
      </c>
      <c r="BP64" s="7">
        <v>543616</v>
      </c>
      <c r="BQ64" s="7">
        <v>543616</v>
      </c>
      <c r="BR64" s="7">
        <v>543616</v>
      </c>
      <c r="BS64" s="7">
        <v>543616</v>
      </c>
      <c r="BT64" s="7">
        <v>543616</v>
      </c>
      <c r="BU64" s="7">
        <v>543616</v>
      </c>
      <c r="BV64" s="7">
        <v>543616</v>
      </c>
      <c r="BW64" s="7">
        <v>543616</v>
      </c>
      <c r="BX64" s="7">
        <v>543616</v>
      </c>
      <c r="BY64" s="7">
        <v>543616</v>
      </c>
      <c r="BZ64" s="7">
        <v>543616</v>
      </c>
      <c r="CA64" s="7">
        <v>543616</v>
      </c>
      <c r="CF64" s="7" t="s">
        <v>5788</v>
      </c>
    </row>
    <row r="65" spans="2:84" ht="15.75" x14ac:dyDescent="0.25">
      <c r="B65" s="173"/>
      <c r="C65" s="174"/>
      <c r="D65" s="174"/>
      <c r="E65" s="89" t="str">
        <f>Překlady!C17</f>
        <v>Bude přerušený led pásek?</v>
      </c>
      <c r="G65" s="203"/>
      <c r="H65" s="203"/>
      <c r="I65" s="203"/>
      <c r="J65" s="203"/>
      <c r="K65" s="203"/>
      <c r="M65" s="303" t="str">
        <f>IF(AW63=1,Překlady!C37,"")</f>
        <v/>
      </c>
      <c r="N65" s="303"/>
      <c r="O65" s="303"/>
      <c r="P65" s="276"/>
      <c r="Q65" s="276"/>
      <c r="R65" s="175"/>
      <c r="AC65" s="271"/>
      <c r="AE65" s="96"/>
      <c r="AF65" s="172"/>
      <c r="AI65" s="97"/>
      <c r="AK65" s="140" t="s">
        <v>5781</v>
      </c>
      <c r="AL65" s="7">
        <f>IF(AND(G63=Překlady!C13,Sestava3!G65=Překlady!C15),1,0)</f>
        <v>0</v>
      </c>
      <c r="BB65" s="7" t="str">
        <f>CONCATENATE(Překlady!C13,"_",Překlady!C16,"_")</f>
        <v>rovný_ne_</v>
      </c>
      <c r="BC65" s="7">
        <v>1</v>
      </c>
      <c r="BJ65" s="7" t="str">
        <f>CONCATENATE(Překlady!$C$13,"_",Překlady!$C$15,"_",Překlady!$C$36,"_")</f>
        <v>rovný_ano_v přerušení_</v>
      </c>
      <c r="BK65" s="50">
        <f>IF($BK$57="ano",1,2)</f>
        <v>1</v>
      </c>
      <c r="BL65" s="50">
        <v>2</v>
      </c>
      <c r="BM65" s="7" t="s">
        <v>5815</v>
      </c>
      <c r="BN65" s="7">
        <v>543616</v>
      </c>
      <c r="BO65" s="7">
        <v>543616</v>
      </c>
      <c r="BP65" s="7">
        <v>543616</v>
      </c>
      <c r="BQ65" s="7">
        <v>543616</v>
      </c>
      <c r="BR65" s="7">
        <v>543616</v>
      </c>
      <c r="BS65" s="7">
        <v>543616</v>
      </c>
      <c r="BT65" s="7">
        <v>543616</v>
      </c>
      <c r="BU65" s="7">
        <v>543616</v>
      </c>
      <c r="BV65" s="7">
        <v>543616</v>
      </c>
      <c r="BW65" s="7">
        <v>543616</v>
      </c>
      <c r="BX65" s="7">
        <v>543616</v>
      </c>
      <c r="BY65" s="7">
        <v>543616</v>
      </c>
      <c r="BZ65" s="7">
        <v>543616</v>
      </c>
      <c r="CA65" s="7">
        <v>543616</v>
      </c>
      <c r="CF65" s="7" t="s">
        <v>5787</v>
      </c>
    </row>
    <row r="66" spans="2:84" ht="15" x14ac:dyDescent="0.25">
      <c r="B66" s="104"/>
      <c r="AB66" s="96"/>
      <c r="AC66" s="96"/>
      <c r="AE66" s="170"/>
      <c r="AF66" s="176"/>
      <c r="AI66" s="97"/>
      <c r="AK66" s="140" t="s">
        <v>24</v>
      </c>
      <c r="AL66" s="162" t="s">
        <v>137</v>
      </c>
      <c r="AM66" s="162" t="str">
        <f>CONCATENATE(G63,"_",G65,"_",P65)</f>
        <v>__</v>
      </c>
      <c r="AN66" s="50" t="str">
        <f>IFERROR((VLOOKUP(AM66,AM67:AN70,2,0)),"X")</f>
        <v>X</v>
      </c>
      <c r="AP66" s="7" t="s">
        <v>162</v>
      </c>
      <c r="AQ66" s="7" t="s">
        <v>137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J66" s="7" t="str">
        <f>CONCATENATE(Překlady!$C$13,"_",Překlady!$C$15,"_",Překlady!$C$35,"_")</f>
        <v>rovný_ano_vpravo_</v>
      </c>
      <c r="BK66" s="50">
        <f>IF($BK$57="ano",1,2)</f>
        <v>1</v>
      </c>
      <c r="BL66" s="50">
        <v>3</v>
      </c>
      <c r="BM66" s="7" t="s">
        <v>5813</v>
      </c>
      <c r="BN66" s="7">
        <v>543616</v>
      </c>
      <c r="BO66" s="7">
        <v>543616</v>
      </c>
      <c r="BP66" s="7">
        <v>543616</v>
      </c>
      <c r="BQ66" s="7">
        <v>543616</v>
      </c>
      <c r="BR66" s="7">
        <v>543616</v>
      </c>
      <c r="BS66" s="7">
        <v>543616</v>
      </c>
      <c r="BT66" s="7">
        <v>543616</v>
      </c>
      <c r="BU66" s="7">
        <v>543616</v>
      </c>
      <c r="BV66" s="7">
        <v>543616</v>
      </c>
      <c r="BW66" s="7">
        <v>543616</v>
      </c>
      <c r="BX66" s="7">
        <v>543616</v>
      </c>
      <c r="BY66" s="7">
        <v>543616</v>
      </c>
      <c r="BZ66" s="7">
        <v>543616</v>
      </c>
      <c r="CA66" s="7">
        <v>543616</v>
      </c>
      <c r="CF66" s="7" t="s">
        <v>5786</v>
      </c>
    </row>
    <row r="67" spans="2:84" ht="15.75" x14ac:dyDescent="0.25">
      <c r="B67" s="173"/>
      <c r="C67" s="174"/>
      <c r="D67" s="174"/>
      <c r="E67" s="89" t="str">
        <f>Překlady!C33</f>
        <v>Umístění napájení:</v>
      </c>
      <c r="G67" s="203"/>
      <c r="H67" s="203"/>
      <c r="I67" s="203"/>
      <c r="J67" s="203"/>
      <c r="K67" s="203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J67" s="7" t="str">
        <f>CONCATENATE(Překlady!$C$13,"_",Překlady!$C$15,"_",Překlady!$C$34,"_")</f>
        <v>rovný_ano_vlevo_</v>
      </c>
      <c r="BK67" s="50">
        <f>IF($BK$57="ano",1,2)</f>
        <v>1</v>
      </c>
      <c r="BL67" s="50">
        <v>3</v>
      </c>
      <c r="BM67" s="7" t="s">
        <v>5813</v>
      </c>
      <c r="BN67" s="7">
        <v>543616</v>
      </c>
      <c r="BO67" s="7">
        <v>543616</v>
      </c>
      <c r="BP67" s="7">
        <v>543616</v>
      </c>
      <c r="BQ67" s="7">
        <v>543616</v>
      </c>
      <c r="BR67" s="7">
        <v>543616</v>
      </c>
      <c r="BS67" s="7">
        <v>543616</v>
      </c>
      <c r="BT67" s="7">
        <v>543616</v>
      </c>
      <c r="BU67" s="7">
        <v>543616</v>
      </c>
      <c r="BV67" s="7">
        <v>543616</v>
      </c>
      <c r="BW67" s="7">
        <v>543616</v>
      </c>
      <c r="BX67" s="7">
        <v>543616</v>
      </c>
      <c r="BY67" s="7">
        <v>543616</v>
      </c>
      <c r="BZ67" s="7">
        <v>543616</v>
      </c>
      <c r="CA67" s="7">
        <v>543616</v>
      </c>
      <c r="CF67" s="7" t="s">
        <v>5786</v>
      </c>
    </row>
    <row r="68" spans="2:84" ht="24.75" customHeight="1" x14ac:dyDescent="0.25">
      <c r="B68" s="104"/>
      <c r="Z68" s="102"/>
      <c r="AA68" s="168"/>
      <c r="AC68" s="168" t="s">
        <v>163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J68" s="7" t="str">
        <f>CONCATENATE(Překlady!$C$14,"_",Překlady!$C$16,"_",Překlady!$C$34,"_")</f>
        <v>rohový_ne_vlevo_</v>
      </c>
      <c r="BK68" s="50">
        <v>2</v>
      </c>
      <c r="BL68" s="50">
        <v>3</v>
      </c>
      <c r="BM68" s="7" t="s">
        <v>5813</v>
      </c>
      <c r="BN68" s="7">
        <v>543616</v>
      </c>
      <c r="BO68" s="7">
        <v>543616</v>
      </c>
      <c r="BP68" s="7">
        <v>543616</v>
      </c>
      <c r="BQ68" s="7">
        <v>543616</v>
      </c>
      <c r="BR68" s="7">
        <v>543616</v>
      </c>
      <c r="BS68" s="7">
        <v>543616</v>
      </c>
      <c r="BT68" s="7">
        <v>543616</v>
      </c>
      <c r="BU68" s="7">
        <v>543616</v>
      </c>
      <c r="BV68" s="7">
        <v>543616</v>
      </c>
      <c r="BW68" s="7">
        <v>543616</v>
      </c>
      <c r="BX68" s="7">
        <v>543616</v>
      </c>
      <c r="BY68" s="7">
        <v>543616</v>
      </c>
      <c r="BZ68" s="7">
        <v>543616</v>
      </c>
      <c r="CA68" s="7">
        <v>543616</v>
      </c>
      <c r="CF68" s="7" t="s">
        <v>5789</v>
      </c>
    </row>
    <row r="69" spans="2:84" ht="15.75" customHeight="1" x14ac:dyDescent="0.25">
      <c r="B69" s="248" t="str">
        <f>Překlady!C46</f>
        <v>Chcete profily krátit na míru?</v>
      </c>
      <c r="C69" s="201"/>
      <c r="D69" s="201"/>
      <c r="E69" s="201"/>
      <c r="F69" s="177"/>
      <c r="G69" s="203"/>
      <c r="H69" s="203"/>
      <c r="I69" s="203"/>
      <c r="J69" s="203"/>
      <c r="K69" s="203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J69" s="7" t="str">
        <f>CONCATENATE(Překlady!$C$14,"_",Překlady!$C$16,"_",Překlady!$C$35,"_")</f>
        <v>rohový_ne_vpravo_</v>
      </c>
      <c r="BK69" s="50">
        <v>2</v>
      </c>
      <c r="BL69" s="50">
        <v>3</v>
      </c>
      <c r="BM69" s="7" t="s">
        <v>5813</v>
      </c>
      <c r="BN69" s="7">
        <v>543616</v>
      </c>
      <c r="BO69" s="7">
        <v>543616</v>
      </c>
      <c r="BP69" s="7">
        <v>543616</v>
      </c>
      <c r="BQ69" s="7">
        <v>543616</v>
      </c>
      <c r="BR69" s="7">
        <v>543616</v>
      </c>
      <c r="BS69" s="7">
        <v>543616</v>
      </c>
      <c r="BT69" s="7">
        <v>543616</v>
      </c>
      <c r="BU69" s="7">
        <v>543616</v>
      </c>
      <c r="BV69" s="7">
        <v>543616</v>
      </c>
      <c r="BW69" s="7">
        <v>543616</v>
      </c>
      <c r="BX69" s="7">
        <v>543616</v>
      </c>
      <c r="BY69" s="7">
        <v>543616</v>
      </c>
      <c r="BZ69" s="7">
        <v>543616</v>
      </c>
      <c r="CA69" s="7">
        <v>543616</v>
      </c>
    </row>
    <row r="70" spans="2:84" ht="15" x14ac:dyDescent="0.25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164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J70" s="7" t="str">
        <f>CONCATENATE(Překlady!$C$14,"_",Překlady!$C$16,"_",Překlady!$C$38,"_")</f>
        <v>rohový_ne_v rohu_</v>
      </c>
      <c r="BK70" s="50">
        <v>2</v>
      </c>
      <c r="BL70" s="50">
        <v>2</v>
      </c>
      <c r="BM70" s="7" t="s">
        <v>5817</v>
      </c>
      <c r="BN70" s="7">
        <v>543616</v>
      </c>
      <c r="BO70" s="7">
        <v>543616</v>
      </c>
      <c r="BP70" s="7">
        <v>543616</v>
      </c>
      <c r="BQ70" s="7">
        <v>543616</v>
      </c>
      <c r="BR70" s="7">
        <v>543616</v>
      </c>
      <c r="BS70" s="7">
        <v>543616</v>
      </c>
      <c r="BT70" s="7">
        <v>543616</v>
      </c>
      <c r="BU70" s="7">
        <v>543616</v>
      </c>
      <c r="BV70" s="7">
        <v>543616</v>
      </c>
      <c r="BW70" s="7">
        <v>543616</v>
      </c>
      <c r="BX70" s="7">
        <v>543616</v>
      </c>
      <c r="BY70" s="7">
        <v>543616</v>
      </c>
      <c r="BZ70" s="7">
        <v>543616</v>
      </c>
      <c r="CA70" s="7">
        <v>543616</v>
      </c>
      <c r="CF70" s="7" t="s">
        <v>5790</v>
      </c>
    </row>
    <row r="71" spans="2:84" ht="15" x14ac:dyDescent="0.25">
      <c r="B71" s="104"/>
      <c r="AC71" s="271" t="s">
        <v>163</v>
      </c>
      <c r="AD71" s="96"/>
      <c r="AE71" s="96"/>
      <c r="AI71" s="97"/>
      <c r="AK71" s="140" t="s">
        <v>165</v>
      </c>
      <c r="AL71" s="7" t="str">
        <f>Překlady!$C$34</f>
        <v>vlevo</v>
      </c>
      <c r="AM71" s="252" t="s">
        <v>166</v>
      </c>
      <c r="AN71" s="240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20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J71" s="7" t="str">
        <f>CONCATENATE(Překlady!$C$14,"_",Překlady!$C$15,"_",Překlady!$C$34,"_",Překlady!$C$34)</f>
        <v>rohový_ano_vlevo_vlevo</v>
      </c>
      <c r="BK71" s="50">
        <v>3</v>
      </c>
      <c r="BL71" s="50">
        <v>5</v>
      </c>
      <c r="BM71" s="7" t="s">
        <v>5818</v>
      </c>
      <c r="BN71" s="7">
        <v>543616</v>
      </c>
      <c r="BO71" s="7">
        <v>543616</v>
      </c>
      <c r="BP71" s="7">
        <v>543616</v>
      </c>
      <c r="BQ71" s="7">
        <v>543616</v>
      </c>
      <c r="BR71" s="7">
        <v>543616</v>
      </c>
      <c r="BS71" s="7">
        <v>543616</v>
      </c>
      <c r="BT71" s="7">
        <v>543616</v>
      </c>
      <c r="BU71" s="7">
        <v>543616</v>
      </c>
      <c r="BV71" s="7">
        <v>543616</v>
      </c>
      <c r="BW71" s="7">
        <v>543616</v>
      </c>
      <c r="BX71" s="7">
        <v>543616</v>
      </c>
      <c r="BY71" s="7">
        <v>543616</v>
      </c>
      <c r="BZ71" s="7">
        <v>543616</v>
      </c>
      <c r="CA71" s="7">
        <v>543616</v>
      </c>
      <c r="CF71" s="7" t="s">
        <v>5791</v>
      </c>
    </row>
    <row r="72" spans="2:84" ht="15.75" x14ac:dyDescent="0.25">
      <c r="B72" s="248" t="str">
        <f>Překlady!C39</f>
        <v>Definuj délky:</v>
      </c>
      <c r="C72" s="201"/>
      <c r="D72" s="201"/>
      <c r="E72" s="201"/>
      <c r="G72" s="178" t="s">
        <v>167</v>
      </c>
      <c r="I72" s="282"/>
      <c r="J72" s="282"/>
      <c r="K72" s="282"/>
      <c r="M72" s="170" t="s">
        <v>168</v>
      </c>
      <c r="O72" s="275"/>
      <c r="P72" s="275"/>
      <c r="Q72" s="179"/>
      <c r="AC72" s="271"/>
      <c r="AI72" s="97"/>
      <c r="AL72" s="7" t="str">
        <f>Překlady!$C$35</f>
        <v>vpravo</v>
      </c>
      <c r="AM72" s="252"/>
      <c r="AN72" s="240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154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J72" s="7" t="str">
        <f>CONCATENATE(Překlady!$C$14,"_",Překlady!$C$15,"_",Překlady!$C$35,"_",Překlady!$C$35)</f>
        <v>rohový_ano_vpravo_vpravo</v>
      </c>
      <c r="BK72" s="50">
        <v>3</v>
      </c>
      <c r="BL72" s="50">
        <v>5</v>
      </c>
      <c r="BM72" s="7" t="s">
        <v>5818</v>
      </c>
      <c r="BN72" s="7">
        <v>543616</v>
      </c>
      <c r="BO72" s="7">
        <v>543616</v>
      </c>
      <c r="BP72" s="7">
        <v>543616</v>
      </c>
      <c r="BQ72" s="7">
        <v>543616</v>
      </c>
      <c r="BR72" s="7">
        <v>543616</v>
      </c>
      <c r="BS72" s="7">
        <v>543616</v>
      </c>
      <c r="BT72" s="7">
        <v>543616</v>
      </c>
      <c r="BU72" s="7">
        <v>543616</v>
      </c>
      <c r="BV72" s="7">
        <v>543616</v>
      </c>
      <c r="BW72" s="7">
        <v>543616</v>
      </c>
      <c r="BX72" s="7">
        <v>543616</v>
      </c>
      <c r="BY72" s="7">
        <v>543616</v>
      </c>
      <c r="BZ72" s="7">
        <v>543616</v>
      </c>
      <c r="CA72" s="7">
        <v>543616</v>
      </c>
      <c r="CF72" s="7" t="s">
        <v>5791</v>
      </c>
    </row>
    <row r="73" spans="2:84" ht="15" customHeight="1" x14ac:dyDescent="0.25">
      <c r="B73" s="285" t="str">
        <f>Překlady!C83</f>
        <v xml:space="preserve"> Zadávejte celkovou vnější délku vč. koncovek</v>
      </c>
      <c r="C73" s="252"/>
      <c r="D73" s="252"/>
      <c r="E73" s="252"/>
      <c r="G73" s="168" t="s">
        <v>169</v>
      </c>
      <c r="I73" s="275"/>
      <c r="J73" s="275"/>
      <c r="K73" s="275"/>
      <c r="M73" s="170" t="s">
        <v>6809</v>
      </c>
      <c r="O73" s="275"/>
      <c r="P73" s="275"/>
      <c r="Q73" s="179" t="s">
        <v>170</v>
      </c>
      <c r="AI73" s="97"/>
      <c r="AL73" s="7" t="str">
        <f>IF(Sestava3!G65=Překlady!C15,Překlady!$C$36,IF(Sestava3!G63=Překlady!C14,Překlady!$C$38,""))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163</v>
      </c>
      <c r="AW73" s="7">
        <f>IF($AL$64=1,1,2)</f>
        <v>2</v>
      </c>
      <c r="BJ73" s="7" t="str">
        <f>CONCATENATE(Překlady!$C$14,"_",Překlady!$C$15,"_",Překlady!$C$34,"_",Překlady!$C$35)</f>
        <v>rohový_ano_vlevo_vpravo</v>
      </c>
      <c r="BK73" s="50">
        <v>3</v>
      </c>
      <c r="BL73" s="50">
        <v>5</v>
      </c>
      <c r="BM73" s="7" t="s">
        <v>5818</v>
      </c>
      <c r="BN73" s="7">
        <v>543616</v>
      </c>
      <c r="BO73" s="7">
        <v>543616</v>
      </c>
      <c r="BP73" s="7">
        <v>543616</v>
      </c>
      <c r="BQ73" s="7">
        <v>543616</v>
      </c>
      <c r="BR73" s="7">
        <v>543616</v>
      </c>
      <c r="BS73" s="7">
        <v>543616</v>
      </c>
      <c r="BT73" s="7">
        <v>543616</v>
      </c>
      <c r="BU73" s="7">
        <v>543616</v>
      </c>
      <c r="BV73" s="7">
        <v>543616</v>
      </c>
      <c r="BW73" s="7">
        <v>543616</v>
      </c>
      <c r="BX73" s="7">
        <v>543616</v>
      </c>
      <c r="BY73" s="7">
        <v>543616</v>
      </c>
      <c r="BZ73" s="7">
        <v>543616</v>
      </c>
      <c r="CA73" s="7">
        <v>543616</v>
      </c>
    </row>
    <row r="74" spans="2:84" ht="15" customHeight="1" x14ac:dyDescent="0.25">
      <c r="B74" s="285"/>
      <c r="C74" s="252"/>
      <c r="D74" s="252"/>
      <c r="E74" s="252"/>
      <c r="G74" s="170"/>
      <c r="I74" s="180"/>
      <c r="J74" s="180"/>
      <c r="K74" s="179"/>
      <c r="M74" s="170" t="s">
        <v>171</v>
      </c>
      <c r="Q74" s="179"/>
      <c r="AI74" s="97"/>
      <c r="AL74" s="7" t="str">
        <f>IF(AL73=Překlady!C38,"",IF(Sestava3!G63=Překlady!C14,Překlady!$C$38,""))</f>
        <v/>
      </c>
      <c r="AS74" s="50"/>
      <c r="AV74" s="7" t="s">
        <v>160</v>
      </c>
      <c r="AW74" s="7">
        <f>IF($AN$66=2,1,2)</f>
        <v>2</v>
      </c>
      <c r="BJ74" s="7" t="str">
        <f>CONCATENATE(Překlady!$C$14,"_",Překlady!$C$15,"_",Překlady!$C$35,"_",Překlady!$C$34)</f>
        <v>rohový_ano_vpravo_vlevo</v>
      </c>
      <c r="BK74" s="50">
        <v>3</v>
      </c>
      <c r="BL74" s="50">
        <v>5</v>
      </c>
      <c r="BM74" s="7" t="s">
        <v>5818</v>
      </c>
      <c r="BN74" s="7">
        <v>543616</v>
      </c>
      <c r="BO74" s="7">
        <v>543616</v>
      </c>
      <c r="BP74" s="7">
        <v>543616</v>
      </c>
      <c r="BQ74" s="7">
        <v>543616</v>
      </c>
      <c r="BR74" s="7">
        <v>543616</v>
      </c>
      <c r="BS74" s="7">
        <v>543616</v>
      </c>
      <c r="BT74" s="7">
        <v>543616</v>
      </c>
      <c r="BU74" s="7">
        <v>543616</v>
      </c>
      <c r="BV74" s="7">
        <v>543616</v>
      </c>
      <c r="BW74" s="7">
        <v>543616</v>
      </c>
      <c r="BX74" s="7">
        <v>543616</v>
      </c>
      <c r="BY74" s="7">
        <v>543616</v>
      </c>
      <c r="BZ74" s="7">
        <v>543616</v>
      </c>
      <c r="CA74" s="7">
        <v>543616</v>
      </c>
    </row>
    <row r="75" spans="2:84" ht="15" customHeight="1" x14ac:dyDescent="0.25">
      <c r="B75" s="181"/>
      <c r="C75" s="18"/>
      <c r="D75" s="18"/>
      <c r="E75" s="18"/>
      <c r="AI75" s="97"/>
      <c r="BJ75" s="7" t="str">
        <f>CONCATENATE(Překlady!$C$14,"_",Překlady!$C$15,"_",Překlady!$C$36,"_",Překlady!$C$35)</f>
        <v>rohový_ano_v přerušení_vpravo</v>
      </c>
      <c r="BK75" s="50">
        <v>3</v>
      </c>
      <c r="BL75" s="50">
        <v>4</v>
      </c>
      <c r="BM75" s="7" t="s">
        <v>5819</v>
      </c>
      <c r="BN75" s="7">
        <v>543616</v>
      </c>
      <c r="BO75" s="7">
        <v>543616</v>
      </c>
      <c r="BP75" s="7">
        <v>543616</v>
      </c>
      <c r="BQ75" s="7">
        <v>543616</v>
      </c>
      <c r="BR75" s="7">
        <v>543616</v>
      </c>
      <c r="BS75" s="7">
        <v>543616</v>
      </c>
      <c r="BT75" s="7">
        <v>543616</v>
      </c>
      <c r="BU75" s="7">
        <v>543616</v>
      </c>
      <c r="BV75" s="7">
        <v>543616</v>
      </c>
      <c r="BW75" s="7">
        <v>543616</v>
      </c>
      <c r="BX75" s="7">
        <v>543616</v>
      </c>
      <c r="BY75" s="7">
        <v>543616</v>
      </c>
      <c r="BZ75" s="7">
        <v>543616</v>
      </c>
      <c r="CA75" s="7">
        <v>543616</v>
      </c>
    </row>
    <row r="76" spans="2:84" ht="15" x14ac:dyDescent="0.25">
      <c r="B76" s="104"/>
      <c r="AI76" s="97"/>
      <c r="BJ76" s="7" t="str">
        <f>CONCATENATE(Překlady!$C$14,"_",Překlady!$C$15,"_",Překlady!$C$36,"_",Překlady!$C$34)</f>
        <v>rohový_ano_v přerušení_vlevo</v>
      </c>
      <c r="BK76" s="50">
        <v>3</v>
      </c>
      <c r="BL76" s="50">
        <v>4</v>
      </c>
      <c r="BM76" s="7" t="s">
        <v>5819</v>
      </c>
      <c r="BN76" s="7">
        <v>543616</v>
      </c>
      <c r="BO76" s="7">
        <v>543616</v>
      </c>
      <c r="BP76" s="7">
        <v>543616</v>
      </c>
      <c r="BQ76" s="7">
        <v>543616</v>
      </c>
      <c r="BR76" s="7">
        <v>543616</v>
      </c>
      <c r="BS76" s="7">
        <v>543616</v>
      </c>
      <c r="BT76" s="7">
        <v>543616</v>
      </c>
      <c r="BU76" s="7">
        <v>543616</v>
      </c>
      <c r="BV76" s="7">
        <v>543616</v>
      </c>
      <c r="BW76" s="7">
        <v>543616</v>
      </c>
      <c r="BX76" s="7">
        <v>543616</v>
      </c>
      <c r="BY76" s="7">
        <v>543616</v>
      </c>
      <c r="BZ76" s="7">
        <v>543616</v>
      </c>
      <c r="CA76" s="7">
        <v>543616</v>
      </c>
    </row>
    <row r="77" spans="2:84" ht="12.75" customHeight="1" x14ac:dyDescent="0.25">
      <c r="B77" s="104"/>
      <c r="AI77" s="97"/>
      <c r="BJ77" s="7" t="str">
        <f>CONCATENATE(Překlady!$C$14,"_",Překlady!$C$15,"_",Překlady!$C$38,"_",Překlady!$C$35)</f>
        <v>rohový_ano_v rohu_vpravo</v>
      </c>
      <c r="BK77" s="50">
        <v>3</v>
      </c>
      <c r="BL77" s="50">
        <v>4</v>
      </c>
      <c r="BM77" s="7" t="s">
        <v>5820</v>
      </c>
      <c r="BN77" s="7">
        <v>543616</v>
      </c>
      <c r="BO77" s="7">
        <v>543616</v>
      </c>
      <c r="BP77" s="7">
        <v>543616</v>
      </c>
      <c r="BQ77" s="7">
        <v>543616</v>
      </c>
      <c r="BR77" s="7">
        <v>543616</v>
      </c>
      <c r="BS77" s="7">
        <v>543616</v>
      </c>
      <c r="BT77" s="7">
        <v>543616</v>
      </c>
      <c r="BU77" s="7">
        <v>543616</v>
      </c>
      <c r="BV77" s="7">
        <v>543616</v>
      </c>
      <c r="BW77" s="7">
        <v>543616</v>
      </c>
      <c r="BX77" s="7">
        <v>543616</v>
      </c>
      <c r="BY77" s="7">
        <v>543616</v>
      </c>
      <c r="BZ77" s="7">
        <v>543616</v>
      </c>
      <c r="CA77" s="7">
        <v>543616</v>
      </c>
      <c r="CF77" s="7" t="s">
        <v>5792</v>
      </c>
    </row>
    <row r="78" spans="2:84" ht="15" x14ac:dyDescent="0.25">
      <c r="B78" s="104"/>
      <c r="AI78" s="97"/>
      <c r="BJ78" s="7" t="str">
        <f>CONCATENATE(Překlady!$C$14,"_",Překlady!$C$15,"_",Překlady!$C$38,"_",Překlady!$C$34)</f>
        <v>rohový_ano_v rohu_vlevo</v>
      </c>
      <c r="BK78" s="50">
        <v>3</v>
      </c>
      <c r="BL78" s="50">
        <v>4</v>
      </c>
      <c r="BM78" s="7" t="s">
        <v>5820</v>
      </c>
      <c r="BN78" s="7">
        <v>543616</v>
      </c>
      <c r="BO78" s="7">
        <v>543616</v>
      </c>
      <c r="BP78" s="7">
        <v>543616</v>
      </c>
      <c r="BQ78" s="7">
        <v>543616</v>
      </c>
      <c r="BR78" s="7">
        <v>543616</v>
      </c>
      <c r="BS78" s="7">
        <v>543616</v>
      </c>
      <c r="BT78" s="7">
        <v>543616</v>
      </c>
      <c r="BU78" s="7">
        <v>543616</v>
      </c>
      <c r="BV78" s="7">
        <v>543616</v>
      </c>
      <c r="BW78" s="7">
        <v>543616</v>
      </c>
      <c r="BX78" s="7">
        <v>543616</v>
      </c>
      <c r="BY78" s="7">
        <v>543616</v>
      </c>
      <c r="BZ78" s="7">
        <v>543616</v>
      </c>
      <c r="CA78" s="7">
        <v>543616</v>
      </c>
      <c r="CF78" s="7" t="s">
        <v>5793</v>
      </c>
    </row>
    <row r="79" spans="2:84" ht="15" customHeight="1" x14ac:dyDescent="0.25">
      <c r="B79" s="104"/>
      <c r="AI79" s="97"/>
      <c r="BJ79" s="7" t="e">
        <f>MATCH(BJ61,BJ63:BJ78,0)</f>
        <v>#N/A</v>
      </c>
      <c r="BK79" s="155" t="e" cm="1">
        <f t="array" ref="BK79">INDEX($BK$63:BK78,BJ79)</f>
        <v>#N/A</v>
      </c>
      <c r="BL79" s="155" t="e" cm="1">
        <f t="array" ref="BL79">INDEX($BL$63:BL78,BJ79)</f>
        <v>#N/A</v>
      </c>
      <c r="BW79" s="17" t="s">
        <v>111</v>
      </c>
      <c r="BX79" s="7" t="s">
        <v>5803</v>
      </c>
    </row>
    <row r="80" spans="2:84" ht="15" customHeight="1" x14ac:dyDescent="0.25">
      <c r="B80" s="104"/>
      <c r="AI80" s="97"/>
      <c r="BW80" s="17" t="s">
        <v>5805</v>
      </c>
      <c r="BX80" s="7" t="s">
        <v>5806</v>
      </c>
    </row>
    <row r="81" spans="2:76" ht="15.75" thickBot="1" x14ac:dyDescent="0.3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 t="s">
        <v>5805</v>
      </c>
      <c r="BX81" s="7" t="s">
        <v>5804</v>
      </c>
    </row>
    <row r="82" spans="2:76" ht="7.5" customHeight="1" x14ac:dyDescent="0.25"/>
    <row r="83" spans="2:76" ht="7.5" customHeight="1" thickBot="1" x14ac:dyDescent="0.3"/>
    <row r="84" spans="2:76" ht="15" x14ac:dyDescent="0.2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6" ht="15.75" customHeight="1" x14ac:dyDescent="0.25">
      <c r="B85" s="246" t="str">
        <f>Překlady!C67</f>
        <v>LED pásek:</v>
      </c>
      <c r="C85" s="247"/>
      <c r="D85" s="247"/>
      <c r="E85" s="247"/>
      <c r="M85" s="255" t="s">
        <v>172</v>
      </c>
      <c r="N85" s="256"/>
      <c r="O85" s="256"/>
      <c r="P85" s="256"/>
      <c r="Q85" s="256"/>
      <c r="R85" s="256"/>
      <c r="S85" s="256"/>
      <c r="T85" s="280"/>
      <c r="U85" s="259" t="s">
        <v>173</v>
      </c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I85" s="97"/>
      <c r="AL85" s="17" t="s">
        <v>174</v>
      </c>
      <c r="AM85" s="7" t="s">
        <v>175</v>
      </c>
    </row>
    <row r="86" spans="2:76" ht="15" customHeight="1" x14ac:dyDescent="0.25">
      <c r="B86" s="246"/>
      <c r="C86" s="247"/>
      <c r="D86" s="247"/>
      <c r="E86" s="247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I86" s="97"/>
      <c r="AL86" s="17"/>
      <c r="AM86" s="7" t="s">
        <v>173</v>
      </c>
    </row>
    <row r="87" spans="2:76" ht="15" x14ac:dyDescent="0.25">
      <c r="B87" s="104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I87" s="97"/>
      <c r="AL87" s="17"/>
      <c r="AM87" s="7" t="str">
        <f>IF(AND(ISBLANK(G19)=TRUE,G89="24V"),"neon","")</f>
        <v/>
      </c>
    </row>
    <row r="88" spans="2:76" ht="15" x14ac:dyDescent="0.25">
      <c r="B88" s="104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I88" s="97"/>
    </row>
    <row r="89" spans="2:76" ht="15.75" x14ac:dyDescent="0.25">
      <c r="B89" s="249" t="str">
        <f>Překlady!C68</f>
        <v>Napětí:</v>
      </c>
      <c r="C89" s="250"/>
      <c r="D89" s="250"/>
      <c r="E89" s="250"/>
      <c r="G89" s="203"/>
      <c r="H89" s="203"/>
      <c r="I89" s="203"/>
      <c r="J89" s="203"/>
      <c r="K89" s="20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I89" s="97"/>
      <c r="AL89" s="17" t="s">
        <v>177</v>
      </c>
      <c r="AM89" s="7" t="str">
        <f>CONCATENATE(G89,"_",G91)</f>
        <v>_</v>
      </c>
      <c r="AP89" s="17" t="s">
        <v>178</v>
      </c>
      <c r="AQ89" s="7" t="s">
        <v>179</v>
      </c>
    </row>
    <row r="90" spans="2:76" ht="15" x14ac:dyDescent="0.25">
      <c r="B90" s="104"/>
      <c r="C90" s="102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I90" s="97"/>
      <c r="AL90" s="17" t="s">
        <v>180</v>
      </c>
      <c r="AM90" s="7" t="e">
        <f>VLOOKUP(AM89,AP89:AQ93,2,0)</f>
        <v>#N/A</v>
      </c>
      <c r="AP90" s="17" t="s">
        <v>181</v>
      </c>
      <c r="AQ90" s="7" t="s">
        <v>179</v>
      </c>
    </row>
    <row r="91" spans="2:76" ht="15.75" x14ac:dyDescent="0.25">
      <c r="B91" s="249" t="str">
        <f>Překlady!C69</f>
        <v>Typ led pásku:</v>
      </c>
      <c r="C91" s="250"/>
      <c r="D91" s="250"/>
      <c r="E91" s="250"/>
      <c r="G91" s="203"/>
      <c r="H91" s="203"/>
      <c r="I91" s="203"/>
      <c r="J91" s="203"/>
      <c r="K91" s="20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I91" s="97"/>
      <c r="AL91" s="17"/>
      <c r="AP91" s="7" t="s">
        <v>182</v>
      </c>
      <c r="AQ91" s="7" t="s">
        <v>183</v>
      </c>
    </row>
    <row r="92" spans="2:76" ht="15" x14ac:dyDescent="0.25">
      <c r="B92" s="104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I92" s="97"/>
      <c r="AL92" s="17"/>
      <c r="AP92" s="7" t="s">
        <v>184</v>
      </c>
      <c r="AQ92" s="7" t="s">
        <v>179</v>
      </c>
    </row>
    <row r="93" spans="2:76" ht="15.75" x14ac:dyDescent="0.25">
      <c r="B93" s="249" t="str">
        <f>Překlady!C70</f>
        <v>Teplota LED pásku:</v>
      </c>
      <c r="C93" s="250"/>
      <c r="D93" s="250"/>
      <c r="E93" s="250"/>
      <c r="G93" s="203"/>
      <c r="H93" s="203"/>
      <c r="I93" s="203"/>
      <c r="J93" s="203"/>
      <c r="K93" s="203"/>
      <c r="AI93" s="97"/>
      <c r="AP93" s="7" t="s">
        <v>185</v>
      </c>
      <c r="AQ93" s="7" t="s">
        <v>186</v>
      </c>
    </row>
    <row r="94" spans="2:76" ht="15.75" x14ac:dyDescent="0.25">
      <c r="B94" s="104"/>
      <c r="U94" s="259" t="str">
        <f>Překlady!C70</f>
        <v>Teplota LED pásku:</v>
      </c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I94" s="97"/>
    </row>
    <row r="95" spans="2:76" ht="15.75" x14ac:dyDescent="0.25">
      <c r="B95" s="249" t="str">
        <f>Překlady!C75</f>
        <v>Svítivost:</v>
      </c>
      <c r="C95" s="250"/>
      <c r="D95" s="250"/>
      <c r="E95" s="250"/>
      <c r="G95" s="203"/>
      <c r="H95" s="203"/>
      <c r="I95" s="203"/>
      <c r="J95" s="203"/>
      <c r="K95" s="20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I95" s="97"/>
      <c r="AL95" s="17" t="s">
        <v>187</v>
      </c>
      <c r="AM95" s="7" t="str">
        <f>IF(G91="neon","teplota1",IF(AM89="24V_COB","teplota3","teplota2"))</f>
        <v>teplota2</v>
      </c>
    </row>
    <row r="96" spans="2:76" ht="15" x14ac:dyDescent="0.25">
      <c r="B96" s="104"/>
      <c r="C96" s="7" t="str">
        <f>Překlady!C80</f>
        <v>pozn: pro osvětlení pracovní desky stačí vysoká svítivost</v>
      </c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I96" s="97"/>
    </row>
    <row r="97" spans="1:56" ht="15" x14ac:dyDescent="0.25">
      <c r="B97" s="104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I97" s="97"/>
    </row>
    <row r="98" spans="1:56" ht="15.75" x14ac:dyDescent="0.25">
      <c r="B98" s="249" t="str">
        <f>Překlady!C67</f>
        <v>LED pásek:</v>
      </c>
      <c r="C98" s="250"/>
      <c r="D98" s="250"/>
      <c r="E98" s="250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I98" s="97"/>
    </row>
    <row r="99" spans="1:56" ht="15" x14ac:dyDescent="0.25">
      <c r="B99" s="104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2"/>
      <c r="R99" s="22"/>
      <c r="S99" s="22"/>
      <c r="T99" s="22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I99" s="97"/>
    </row>
    <row r="100" spans="1:56" ht="15" x14ac:dyDescent="0.25">
      <c r="B100" s="104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I100" s="97"/>
      <c r="AL100" s="7" t="s">
        <v>137</v>
      </c>
      <c r="AM100" s="7" t="str">
        <f>CONCATENATE(G89,"_",G91,"_",G93,"_",G95)</f>
        <v>___</v>
      </c>
      <c r="AP100" s="7" t="s">
        <v>189</v>
      </c>
      <c r="AQ100" s="50">
        <f>COUNTIF(Produkty!A107:A154,AM100)</f>
        <v>0</v>
      </c>
    </row>
    <row r="101" spans="1:56" ht="15.75" x14ac:dyDescent="0.25">
      <c r="A101" s="71">
        <f>IF(AND(G69=Překlady!C15,Sestava3!AL64=0),1,0)</f>
        <v>0</v>
      </c>
      <c r="B101" s="304" t="str">
        <f>IF(A101=1,Překlady!C110,"")</f>
        <v/>
      </c>
      <c r="C101" s="303"/>
      <c r="D101" s="303"/>
      <c r="E101" s="303"/>
      <c r="G101" s="287"/>
      <c r="H101" s="287"/>
      <c r="I101" s="287"/>
      <c r="J101" s="287"/>
      <c r="K101" s="287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I101" s="97"/>
      <c r="AL101" s="17" t="s">
        <v>190</v>
      </c>
      <c r="AM101" s="7" t="str">
        <f>IFERROR((VLOOKUP(AM100,Produkty!A107:B154,2,0)),Překlady!C143)</f>
        <v>Led pásek dle zadaných parametrů nemáme v nabídce</v>
      </c>
      <c r="AN101" s="7" t="e">
        <f>VLOOKUP(AM100,Produkty!A107:C154,3,0)</f>
        <v>#N/A</v>
      </c>
    </row>
    <row r="102" spans="1:56" ht="15" x14ac:dyDescent="0.25">
      <c r="B102" s="104"/>
      <c r="Z102" s="278"/>
      <c r="AA102" s="278"/>
      <c r="AB102" s="278"/>
      <c r="AC102" s="182"/>
      <c r="AE102" s="140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56" ht="15.75" thickBot="1" x14ac:dyDescent="0.3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56" ht="15" x14ac:dyDescent="0.25">
      <c r="AL104" s="17" t="s">
        <v>5780</v>
      </c>
      <c r="AM104" s="7" t="e">
        <f>VLOOKUP(G112,Ses3_pom!A58:D108,AN104,0)*IF(W112="",1,W112)</f>
        <v>#N/A</v>
      </c>
      <c r="AN104" s="7">
        <f>IF(G89="12V",3,4)</f>
        <v>4</v>
      </c>
    </row>
    <row r="105" spans="1:56" ht="15.75" thickBot="1" x14ac:dyDescent="0.3">
      <c r="BB105" s="17" t="s">
        <v>191</v>
      </c>
      <c r="BC105" s="7" t="str" cm="1">
        <f t="array" ref="BC105">IF(W110=Překlady!C93,RJ_kineticke,IF(OR(G112=Produkty!B220,G112=Produkty!B221),RJ_bat,IF(G112=Produkty!B225,Produkty!B231,"")))</f>
        <v/>
      </c>
      <c r="BD105" s="140" t="s">
        <v>192</v>
      </c>
    </row>
    <row r="106" spans="1:56" ht="15" customHeight="1" x14ac:dyDescent="0.2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</row>
    <row r="107" spans="1:56" ht="15" customHeight="1" x14ac:dyDescent="0.25">
      <c r="B107" s="246" t="str">
        <f>Překlady!C100</f>
        <v>Ovládání:</v>
      </c>
      <c r="C107" s="247"/>
      <c r="D107" s="247"/>
      <c r="E107" s="247"/>
      <c r="AD107" s="210" t="str">
        <f>Překlady!C103&amp;" "&amp;Překlady!C104&amp;":"</f>
        <v>Přehled ovladačů zde:</v>
      </c>
      <c r="AE107" s="210"/>
      <c r="AF107" s="210"/>
      <c r="AG107" s="211"/>
      <c r="AI107" s="97"/>
      <c r="AL107" s="7" t="s">
        <v>193</v>
      </c>
      <c r="AM107" s="7" t="str">
        <f>IFERROR((VLOOKUP(AQ107,Ses3_pom!$A$37:$B$55,2,0)),"")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194</v>
      </c>
      <c r="AX107" s="7" t="s">
        <v>195</v>
      </c>
    </row>
    <row r="108" spans="1:56" ht="15" customHeight="1" x14ac:dyDescent="0.25">
      <c r="B108" s="246"/>
      <c r="C108" s="247"/>
      <c r="D108" s="247"/>
      <c r="E108" s="247"/>
      <c r="AD108" s="210"/>
      <c r="AE108" s="210"/>
      <c r="AF108" s="210"/>
      <c r="AG108" s="211"/>
      <c r="AI108" s="97"/>
      <c r="AM108" s="7" t="str">
        <f>IFERROR((VLOOKUP(AQ108,Ses3_pom!$A$37:$B$55,2,0)),"")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</row>
    <row r="109" spans="1:56" ht="15" x14ac:dyDescent="0.25">
      <c r="B109" s="104"/>
      <c r="AI109" s="97"/>
      <c r="AM109" s="7" t="str">
        <f>IFERROR((VLOOKUP(AQ109,Ses3_pom!$A$37:$B$55,2,0)),"")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</row>
    <row r="110" spans="1:56" ht="15.75" x14ac:dyDescent="0.25">
      <c r="B110" s="249" t="str">
        <f>Překlady!C89</f>
        <v>Způsob ovládání sestavy:</v>
      </c>
      <c r="C110" s="250"/>
      <c r="D110" s="250"/>
      <c r="E110" s="250"/>
      <c r="G110" s="281"/>
      <c r="H110" s="281"/>
      <c r="I110" s="281"/>
      <c r="J110" s="281"/>
      <c r="K110" s="281"/>
      <c r="L110" s="281"/>
      <c r="M110" s="281"/>
      <c r="N110" s="281"/>
      <c r="O110" s="281"/>
      <c r="Q110" s="215" t="str">
        <f>IF(G110=Překlady!C87,Překlady!C92,"")</f>
        <v/>
      </c>
      <c r="R110" s="215"/>
      <c r="S110" s="215"/>
      <c r="T110" s="215"/>
      <c r="U110" s="215"/>
      <c r="W110" s="306"/>
      <c r="X110" s="306"/>
      <c r="Y110" s="183"/>
      <c r="Z110" s="184"/>
      <c r="AA110" s="184"/>
      <c r="AB110" s="184"/>
      <c r="AI110" s="97"/>
      <c r="AM110" s="7" t="str">
        <f>IFERROR((VLOOKUP(AQ110,Ses3_pom!$A$37:$B$55,2,0)),"")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IF(AND(G110=Překlady!C87,OR(Sestava3!W110=Překlady!C93,W110=Překlady!C94)),1,2)</f>
        <v>2</v>
      </c>
    </row>
    <row r="111" spans="1:56" ht="15" x14ac:dyDescent="0.25">
      <c r="B111" s="104"/>
      <c r="AI111" s="97"/>
      <c r="AM111" s="7" t="str">
        <f>IFERROR((VLOOKUP(AQ111,Ses3_pom!$A$37:$B$55,2,0)),"")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6575</v>
      </c>
      <c r="BC111" s="7" t="str">
        <f>IF(AND(ISBLANK(G114)=FALSE,$BD$106=1),Překlady!C97,"")</f>
        <v/>
      </c>
    </row>
    <row r="112" spans="1:56" ht="15.75" customHeight="1" x14ac:dyDescent="0.25">
      <c r="B112" s="277" t="str">
        <f>IF(AY112=1,Překlady!C90,"")</f>
        <v/>
      </c>
      <c r="C112" s="215"/>
      <c r="D112" s="215"/>
      <c r="E112" s="215"/>
      <c r="G112" s="279"/>
      <c r="H112" s="279"/>
      <c r="I112" s="279"/>
      <c r="J112" s="279"/>
      <c r="K112" s="279"/>
      <c r="L112" s="279"/>
      <c r="M112" s="279"/>
      <c r="N112" s="279"/>
      <c r="O112" s="279"/>
      <c r="P112" s="185"/>
      <c r="Q112" s="215" t="str">
        <f>IF(AL113=1,Překlady!C96,"")</f>
        <v/>
      </c>
      <c r="R112" s="215"/>
      <c r="S112" s="215"/>
      <c r="T112" s="215"/>
      <c r="U112" s="215"/>
      <c r="W112" s="287"/>
      <c r="X112" s="287"/>
      <c r="Y112" s="50"/>
      <c r="Z112" s="288" t="str">
        <f>IF(AL132=1,Překlady!C128,"")</f>
        <v/>
      </c>
      <c r="AA112" s="288"/>
      <c r="AB112" s="288"/>
      <c r="AC112" s="288"/>
      <c r="AD112" s="288"/>
      <c r="AE112" s="288"/>
      <c r="AG112" s="117"/>
      <c r="AI112" s="97"/>
      <c r="AM112" s="7" t="str">
        <f>IFERROR((VLOOKUP(AQ112,Ses3_pom!$A$37:$B$55,2,0)),"")</f>
        <v/>
      </c>
      <c r="AN112" s="7">
        <v>6</v>
      </c>
      <c r="AQ112" s="7" t="str">
        <f t="shared" si="0"/>
        <v>_6</v>
      </c>
      <c r="AW112" s="169"/>
      <c r="AX112" s="186" t="s">
        <v>198</v>
      </c>
      <c r="AY112" s="169" t="str">
        <f>IFERROR((VLOOKUP(G110,AX108:AY111,2,0)),"")</f>
        <v/>
      </c>
      <c r="BC112" s="7" t="str">
        <f>IF(AND(ISBLANK(G114)=FALSE,$BD$106=1),Překlady!C98,"")</f>
        <v/>
      </c>
    </row>
    <row r="113" spans="2:50" ht="15" x14ac:dyDescent="0.25">
      <c r="B113" s="104"/>
      <c r="AI113" s="97"/>
      <c r="AK113" s="140" t="s">
        <v>199</v>
      </c>
      <c r="AL113" s="50">
        <f>IF(AY112=1,IF(OR(AL64=1,AL65=1),1,2),2)</f>
        <v>2</v>
      </c>
      <c r="AM113" s="7" t="str">
        <f>IFERROR((VLOOKUP(AQ113,Ses3_pom!$A$37:$B$55,2,0)),"")</f>
        <v/>
      </c>
      <c r="AN113" s="7">
        <v>7</v>
      </c>
      <c r="AQ113" s="7" t="str">
        <f t="shared" si="0"/>
        <v>_7</v>
      </c>
    </row>
    <row r="114" spans="2:50" ht="15.75" x14ac:dyDescent="0.25">
      <c r="B114" s="277" t="str">
        <f>Překlady!C95</f>
        <v>Jednotka:</v>
      </c>
      <c r="C114" s="215"/>
      <c r="D114" s="215"/>
      <c r="E114" s="215"/>
      <c r="F114" s="187"/>
      <c r="G114" s="302"/>
      <c r="H114" s="302"/>
      <c r="I114" s="302"/>
      <c r="J114" s="302"/>
      <c r="K114" s="302"/>
      <c r="L114" s="302"/>
      <c r="M114" s="302"/>
      <c r="N114" s="302"/>
      <c r="O114" s="302"/>
      <c r="Q114" s="303" t="str">
        <f>IF($BD$106=1,Překlady!C102,"")</f>
        <v/>
      </c>
      <c r="R114" s="303"/>
      <c r="S114" s="303"/>
      <c r="T114" s="303"/>
      <c r="U114" s="303"/>
      <c r="W114" s="214"/>
      <c r="X114" s="214"/>
      <c r="Y114" s="214"/>
      <c r="Z114" s="214"/>
      <c r="AA114" s="214"/>
      <c r="AB114" s="214"/>
      <c r="AC114" s="214"/>
      <c r="AI114" s="97"/>
      <c r="AK114" s="140" t="s">
        <v>200</v>
      </c>
      <c r="AL114" s="7">
        <f>IF(OR(AL115=1,AL116=1),1,2)</f>
        <v>2</v>
      </c>
      <c r="AM114" s="7" t="str">
        <f>IFERROR((VLOOKUP(AQ114,Ses3_pom!$A$37:$B$55,2,0)),"")</f>
        <v/>
      </c>
      <c r="AN114" s="7">
        <v>8</v>
      </c>
      <c r="AQ114" s="7" t="str">
        <f t="shared" si="0"/>
        <v>_8</v>
      </c>
    </row>
    <row r="115" spans="2:50" ht="15" x14ac:dyDescent="0.25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IFERROR((VLOOKUP(AQ115,Ses3_pom!$A$37:$B$55,2,0)),"")</f>
        <v/>
      </c>
      <c r="AN115" s="7">
        <v>9</v>
      </c>
      <c r="AQ115" s="7" t="str">
        <f t="shared" si="0"/>
        <v>_9</v>
      </c>
    </row>
    <row r="116" spans="2:50" ht="15" x14ac:dyDescent="0.25">
      <c r="B116" s="104"/>
      <c r="C116" s="258" t="str">
        <f>IF(ISBLANK(G114)=FALSE,IF(AM120&gt;AM104,Překlady!C121,""),"")</f>
        <v/>
      </c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R116" s="17"/>
      <c r="AI116" s="97"/>
      <c r="AL116" s="7">
        <f>IF(W110=Překlady!C94,IF(G112=Produkty!B220,1,2),2)</f>
        <v>2</v>
      </c>
      <c r="AM116" s="7" t="str">
        <f>IFERROR((VLOOKUP(AQ116,Ses3_pom!$A$37:$B$55,2,0)),"")</f>
        <v/>
      </c>
      <c r="AN116" s="7">
        <v>10</v>
      </c>
      <c r="AQ116" s="7" t="str">
        <f t="shared" si="0"/>
        <v>_10</v>
      </c>
    </row>
    <row r="117" spans="2:50" ht="15" x14ac:dyDescent="0.25">
      <c r="B117" s="104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R117" s="17"/>
      <c r="AI117" s="97"/>
      <c r="AX117" s="7" t="s">
        <v>201</v>
      </c>
    </row>
    <row r="118" spans="2:50" ht="15.75" x14ac:dyDescent="0.25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202</v>
      </c>
    </row>
    <row r="119" spans="2:50" ht="15" x14ac:dyDescent="0.25">
      <c r="B119" s="104"/>
      <c r="AI119" s="97"/>
      <c r="AL119" s="186" t="s">
        <v>203</v>
      </c>
      <c r="AM119" s="169" t="e">
        <f>VLOOKUP(G89,AL123:AM124,2,0)</f>
        <v>#N/A</v>
      </c>
      <c r="AX119" s="7" t="s">
        <v>204</v>
      </c>
    </row>
    <row r="120" spans="2:50" ht="15.75" x14ac:dyDescent="0.25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205</v>
      </c>
      <c r="AM120" s="7" t="e">
        <f>(I72+I73+O72+O73)/1000*VLOOKUP(G98,Produkty!B107:M154,12,0)</f>
        <v>#N/A</v>
      </c>
    </row>
    <row r="121" spans="2:50" ht="15" x14ac:dyDescent="0.25">
      <c r="B121" s="104"/>
      <c r="AI121" s="97"/>
      <c r="AL121" s="7" t="s">
        <v>206</v>
      </c>
      <c r="AM121" s="188">
        <v>0.3</v>
      </c>
    </row>
    <row r="122" spans="2:50" ht="15" x14ac:dyDescent="0.25">
      <c r="B122" s="104"/>
      <c r="C122" s="294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6"/>
      <c r="AI122" s="97"/>
      <c r="AM122" s="7" t="e">
        <f>CEILING(AM120*(1+AM121),1)</f>
        <v>#N/A</v>
      </c>
    </row>
    <row r="123" spans="2:50" ht="15" x14ac:dyDescent="0.25">
      <c r="B123" s="104"/>
      <c r="C123" s="29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98"/>
      <c r="AI123" s="97"/>
      <c r="AL123" s="7" t="s">
        <v>176</v>
      </c>
      <c r="AM123" s="7" t="e" cm="1">
        <f t="array" ref="AM123">INDEX(Produkty!M234:M239,MATCH(1,(Sestava3!AM122&gt;=Produkty!K234:K239)*(AM122&lt;=Produkty!L234:L239),0))</f>
        <v>#N/A</v>
      </c>
    </row>
    <row r="124" spans="2:50" ht="15" x14ac:dyDescent="0.25">
      <c r="B124" s="104"/>
      <c r="C124" s="29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98"/>
      <c r="AI124" s="97"/>
      <c r="AL124" s="7" t="s">
        <v>207</v>
      </c>
      <c r="AM124" s="7" t="e" cm="1">
        <f t="array" ref="AM124">INDEX(Produkty!M243:M247,MATCH(1,(AM122&gt;=Produkty!K243:K247)*(AM122&lt;=Produkty!L243:L247),0))</f>
        <v>#N/A</v>
      </c>
    </row>
    <row r="125" spans="2:50" ht="15" x14ac:dyDescent="0.25">
      <c r="B125" s="104"/>
      <c r="C125" s="29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98"/>
      <c r="AI125" s="97"/>
    </row>
    <row r="126" spans="2:50" ht="15" customHeight="1" x14ac:dyDescent="0.25">
      <c r="B126" s="104"/>
      <c r="C126" s="29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98"/>
      <c r="AI126" s="97"/>
    </row>
    <row r="127" spans="2:50" ht="15" customHeight="1" x14ac:dyDescent="0.25">
      <c r="B127" s="104"/>
      <c r="C127" s="299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1"/>
      <c r="AI127" s="97"/>
      <c r="AK127" s="140" t="s">
        <v>196</v>
      </c>
      <c r="AL127" s="140" t="e">
        <f>IF(G110=Překlady!C85,VLOOKUP(Ses1_pom!B5,Ses1_pom!B7:D22,3,0),VLOOKUP(Ses1_pom!B5,Ses1_pom!B7:C22,2,0))</f>
        <v>#N/A</v>
      </c>
    </row>
    <row r="128" spans="2:50" ht="15" x14ac:dyDescent="0.25">
      <c r="B128" s="104"/>
      <c r="AI128" s="97"/>
      <c r="AL128" s="140"/>
    </row>
    <row r="129" spans="2:39" ht="15.75" x14ac:dyDescent="0.25">
      <c r="B129" s="104"/>
      <c r="C129" s="74" t="str">
        <f>Překlady!C135</f>
        <v>Pro pokračování vyplňte pole Počet sestav níže.</v>
      </c>
      <c r="AI129" s="97"/>
      <c r="AL129" s="140" t="e">
        <f>IF(AL127=1,1,IF(AL127=2,2,IF(AL127=3,1,"")))</f>
        <v>#N/A</v>
      </c>
    </row>
    <row r="130" spans="2:39" ht="28.15" customHeight="1" x14ac:dyDescent="0.25">
      <c r="B130" s="290" t="str">
        <f>Překlady!C131</f>
        <v>Počet sestav:</v>
      </c>
      <c r="C130" s="291"/>
      <c r="D130" s="291"/>
      <c r="E130" s="291"/>
      <c r="G130" s="292"/>
      <c r="H130" s="292"/>
      <c r="I130" s="292"/>
      <c r="K130" s="293" t="str">
        <f>IF(AM130=TRUE,Překlady!$C$105,"")</f>
        <v/>
      </c>
      <c r="L130" s="293"/>
      <c r="M130" s="293"/>
      <c r="N130" s="293"/>
      <c r="R130" s="289" t="str">
        <f>Překlady!$C$11&amp;" 1"</f>
        <v>Sestava 1</v>
      </c>
      <c r="S130" s="289"/>
      <c r="T130" s="289"/>
      <c r="U130" s="289"/>
      <c r="W130" s="289" t="str">
        <f>Překlady!$C$11&amp;" 2"</f>
        <v>Sestava 2</v>
      </c>
      <c r="X130" s="289"/>
      <c r="Y130" s="289"/>
      <c r="Z130" s="289"/>
      <c r="AA130" s="50"/>
      <c r="AC130" s="289" t="str">
        <f>Překlady!$C$11&amp;" 4"</f>
        <v>Sestava 4</v>
      </c>
      <c r="AD130" s="289"/>
      <c r="AE130" s="289"/>
      <c r="AF130" s="289"/>
      <c r="AI130" s="97"/>
      <c r="AL130" s="140" t="e">
        <f>IF(AL127=3,2,"")</f>
        <v>#N/A</v>
      </c>
      <c r="AM130" s="7" t="b">
        <f>G130&lt;&gt;""</f>
        <v>0</v>
      </c>
    </row>
    <row r="131" spans="2:39" ht="15" x14ac:dyDescent="0.25">
      <c r="B131" s="104"/>
      <c r="AI131" s="97"/>
      <c r="AL131" s="140"/>
    </row>
    <row r="132" spans="2:39" ht="14.45" customHeight="1" thickBot="1" x14ac:dyDescent="0.3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40" t="s">
        <v>5830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5" customHeight="1" x14ac:dyDescent="0.25">
      <c r="AM133" s="7" t="str">
        <f>IF(AL132=1,Překlady!C35,"")</f>
        <v/>
      </c>
    </row>
    <row r="138" spans="2:39" ht="15" hidden="1" x14ac:dyDescent="0.25">
      <c r="P138" s="189"/>
      <c r="Q138" s="18"/>
      <c r="R138" s="18"/>
      <c r="S138" s="18"/>
      <c r="T138" s="18"/>
      <c r="U138" s="18"/>
      <c r="V138" s="18"/>
      <c r="W138" s="18"/>
    </row>
    <row r="139" spans="2:39" ht="15" hidden="1" x14ac:dyDescent="0.25">
      <c r="P139" s="189"/>
      <c r="Q139" s="18"/>
      <c r="R139" s="18"/>
      <c r="S139" s="18"/>
      <c r="T139" s="18"/>
      <c r="U139" s="18"/>
      <c r="V139" s="18"/>
      <c r="W139" s="18"/>
    </row>
    <row r="140" spans="2:39" ht="15" hidden="1" x14ac:dyDescent="0.25">
      <c r="P140" s="190"/>
      <c r="Q140" s="141"/>
      <c r="R140" s="141"/>
      <c r="S140" s="141"/>
      <c r="T140" s="141"/>
      <c r="U140" s="141"/>
      <c r="V140" s="141"/>
      <c r="W140" s="141"/>
    </row>
    <row r="147" spans="3:3" ht="15" hidden="1" x14ac:dyDescent="0.25">
      <c r="C147" s="140"/>
    </row>
  </sheetData>
  <sheetProtection algorithmName="SHA-512" hashValue="bNqMFStXb4kj48i+I5RMaACDcZzHUfC9WOBzy/Qz6vNY2BMrylpN4gXKXht8J69F5xlppNkpHtKGRQI/lVUPYg==" saltValue="4bKRSmecreM4COfz2ht14Q==" spinCount="100000" sheet="1" objects="1" scenarios="1"/>
  <mergeCells count="134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Z102:AB102"/>
    <mergeCell ref="B107:E108"/>
    <mergeCell ref="AD107:AG108"/>
    <mergeCell ref="B110:E110"/>
    <mergeCell ref="G110:O110"/>
    <mergeCell ref="Q110:U110"/>
    <mergeCell ref="W110:X110"/>
    <mergeCell ref="C116:O117"/>
    <mergeCell ref="C122:AF127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</mergeCells>
  <conditionalFormatting sqref="B101">
    <cfRule type="expression" dxfId="134" priority="16">
      <formula>$A$101=1</formula>
    </cfRule>
  </conditionalFormatting>
  <conditionalFormatting sqref="B114">
    <cfRule type="expression" dxfId="133" priority="25">
      <formula>$BD$106=1</formula>
    </cfRule>
  </conditionalFormatting>
  <conditionalFormatting sqref="B5:E6">
    <cfRule type="cellIs" dxfId="132" priority="4" operator="equal">
      <formula>$E$2</formula>
    </cfRule>
  </conditionalFormatting>
  <conditionalFormatting sqref="B112:E112">
    <cfRule type="expression" dxfId="131" priority="23">
      <formula>$AY$112=1</formula>
    </cfRule>
  </conditionalFormatting>
  <conditionalFormatting sqref="C116:O117">
    <cfRule type="notContainsBlanks" dxfId="130" priority="13">
      <formula>LEN(TRIM(C116))&gt;0</formula>
    </cfRule>
  </conditionalFormatting>
  <conditionalFormatting sqref="G18">
    <cfRule type="notContainsBlanks" dxfId="129" priority="20">
      <formula>LEN(TRIM(G18))&gt;0</formula>
    </cfRule>
  </conditionalFormatting>
  <conditionalFormatting sqref="G29">
    <cfRule type="expression" dxfId="128" priority="64">
      <formula>ISNUMBER($G$27)</formula>
    </cfRule>
  </conditionalFormatting>
  <conditionalFormatting sqref="G73">
    <cfRule type="expression" dxfId="127" priority="12">
      <formula>$AM$60=2</formula>
    </cfRule>
  </conditionalFormatting>
  <conditionalFormatting sqref="G112">
    <cfRule type="expression" dxfId="126" priority="26">
      <formula>$AY$112=1</formula>
    </cfRule>
  </conditionalFormatting>
  <conditionalFormatting sqref="G114">
    <cfRule type="expression" dxfId="125" priority="24">
      <formula>$BD$106=1</formula>
    </cfRule>
  </conditionalFormatting>
  <conditionalFormatting sqref="G101:K101">
    <cfRule type="expression" dxfId="124" priority="15">
      <formula>$A$101=1</formula>
    </cfRule>
  </conditionalFormatting>
  <conditionalFormatting sqref="G20:O20">
    <cfRule type="notContainsBlanks" dxfId="123" priority="19">
      <formula>LEN(TRIM(G20))&gt;0</formula>
    </cfRule>
  </conditionalFormatting>
  <conditionalFormatting sqref="G30:O30">
    <cfRule type="notContainsBlanks" dxfId="121" priority="18">
      <formula>LEN(TRIM(G30))&gt;0</formula>
    </cfRule>
  </conditionalFormatting>
  <conditionalFormatting sqref="H5:L6">
    <cfRule type="cellIs" dxfId="119" priority="3" operator="equal">
      <formula>$E$2</formula>
    </cfRule>
  </conditionalFormatting>
  <conditionalFormatting sqref="I73:K73">
    <cfRule type="expression" dxfId="118" priority="11">
      <formula>$AM$60=2</formula>
    </cfRule>
  </conditionalFormatting>
  <conditionalFormatting sqref="K130:N130 R130:U130 W130:Z130 AC130:AF130">
    <cfRule type="expression" dxfId="117" priority="67">
      <formula>$AM$130=TRUE</formula>
    </cfRule>
  </conditionalFormatting>
  <conditionalFormatting sqref="M72">
    <cfRule type="expression" dxfId="116" priority="10">
      <formula>$AW$73=1</formula>
    </cfRule>
  </conditionalFormatting>
  <conditionalFormatting sqref="M73">
    <cfRule type="expression" dxfId="115" priority="8">
      <formula>$AW$74=1</formula>
    </cfRule>
  </conditionalFormatting>
  <conditionalFormatting sqref="M65:N65">
    <cfRule type="expression" dxfId="114" priority="58">
      <formula>AW63=1</formula>
    </cfRule>
  </conditionalFormatting>
  <conditionalFormatting sqref="N5:Q6">
    <cfRule type="cellIs" dxfId="113" priority="2" operator="equal">
      <formula>$E$2</formula>
    </cfRule>
  </conditionalFormatting>
  <conditionalFormatting sqref="O65">
    <cfRule type="expression" dxfId="112" priority="61">
      <formula>#REF!=1</formula>
    </cfRule>
  </conditionalFormatting>
  <conditionalFormatting sqref="O72:P72">
    <cfRule type="expression" dxfId="111" priority="9">
      <formula>$AW$73=1</formula>
    </cfRule>
  </conditionalFormatting>
  <conditionalFormatting sqref="O73:P73">
    <cfRule type="expression" dxfId="110" priority="7">
      <formula>$AW$74=1</formula>
    </cfRule>
  </conditionalFormatting>
  <conditionalFormatting sqref="P65:Q65">
    <cfRule type="expression" dxfId="109" priority="57">
      <formula>AW63=1</formula>
    </cfRule>
  </conditionalFormatting>
  <conditionalFormatting sqref="Q112">
    <cfRule type="expression" dxfId="107" priority="17">
      <formula>$AL$113=1</formula>
    </cfRule>
  </conditionalFormatting>
  <conditionalFormatting sqref="Q114">
    <cfRule type="expression" dxfId="106" priority="65">
      <formula>$BD$106=1</formula>
    </cfRule>
  </conditionalFormatting>
  <conditionalFormatting sqref="R65">
    <cfRule type="expression" dxfId="105" priority="62">
      <formula>#REF!=1</formula>
    </cfRule>
  </conditionalFormatting>
  <conditionalFormatting sqref="S62">
    <cfRule type="expression" dxfId="104" priority="53">
      <formula>$AS$66=1</formula>
    </cfRule>
  </conditionalFormatting>
  <conditionalFormatting sqref="S5:W6">
    <cfRule type="cellIs" dxfId="103" priority="1" operator="equal">
      <formula>$E$2</formula>
    </cfRule>
  </conditionalFormatting>
  <conditionalFormatting sqref="T60:T61">
    <cfRule type="expression" dxfId="102" priority="46">
      <formula>$AL$63=TRUE</formula>
    </cfRule>
  </conditionalFormatting>
  <conditionalFormatting sqref="T60:V60">
    <cfRule type="expression" dxfId="101" priority="47">
      <formula>$AL$63=TRUE</formula>
    </cfRule>
  </conditionalFormatting>
  <conditionalFormatting sqref="T62:AA62">
    <cfRule type="expression" dxfId="100" priority="60">
      <formula>$AL$63=TRUE</formula>
    </cfRule>
  </conditionalFormatting>
  <conditionalFormatting sqref="U60">
    <cfRule type="expression" dxfId="99" priority="40">
      <formula>$AM$60=2</formula>
    </cfRule>
  </conditionalFormatting>
  <conditionalFormatting sqref="V60:V61">
    <cfRule type="expression" dxfId="98" priority="39">
      <formula>$AM$60=2</formula>
    </cfRule>
  </conditionalFormatting>
  <conditionalFormatting sqref="W60">
    <cfRule type="expression" dxfId="97" priority="41">
      <formula>$AM$60=1</formula>
    </cfRule>
  </conditionalFormatting>
  <conditionalFormatting sqref="W62">
    <cfRule type="expression" dxfId="96" priority="56">
      <formula>$AM$60=2</formula>
    </cfRule>
    <cfRule type="expression" dxfId="95" priority="54">
      <formula>$AS$66=3</formula>
    </cfRule>
  </conditionalFormatting>
  <conditionalFormatting sqref="W112">
    <cfRule type="expression" dxfId="93" priority="14">
      <formula>$AL$113=1</formula>
    </cfRule>
  </conditionalFormatting>
  <conditionalFormatting sqref="W114">
    <cfRule type="expression" dxfId="92" priority="66">
      <formula>$BD$106=1</formula>
    </cfRule>
  </conditionalFormatting>
  <conditionalFormatting sqref="W60:AA60">
    <cfRule type="expression" dxfId="91" priority="42">
      <formula>$AM$60=1</formula>
    </cfRule>
  </conditionalFormatting>
  <conditionalFormatting sqref="X60:X61">
    <cfRule type="expression" dxfId="90" priority="36">
      <formula>$AM$60=2</formula>
    </cfRule>
  </conditionalFormatting>
  <conditionalFormatting sqref="X60:AA60">
    <cfRule type="expression" dxfId="89" priority="37">
      <formula>$AM$60=2</formula>
    </cfRule>
  </conditionalFormatting>
  <conditionalFormatting sqref="Y60">
    <cfRule type="expression" dxfId="88" priority="48">
      <formula>$AM$60=2</formula>
    </cfRule>
  </conditionalFormatting>
  <conditionalFormatting sqref="Z112:AE112">
    <cfRule type="expression" dxfId="87" priority="6">
      <formula>$AL$132=1</formula>
    </cfRule>
  </conditionalFormatting>
  <conditionalFormatting sqref="AA60:AA61">
    <cfRule type="expression" dxfId="86" priority="35">
      <formula>$AM$60=2</formula>
    </cfRule>
    <cfRule type="expression" dxfId="85" priority="45">
      <formula>$AM$60=1</formula>
    </cfRule>
  </conditionalFormatting>
  <conditionalFormatting sqref="AA63:AA74">
    <cfRule type="expression" dxfId="84" priority="59">
      <formula>$AL$64=1</formula>
    </cfRule>
  </conditionalFormatting>
  <conditionalFormatting sqref="AA68">
    <cfRule type="expression" dxfId="83" priority="49">
      <formula>$AS$66=6</formula>
    </cfRule>
    <cfRule type="expression" dxfId="82" priority="55">
      <formula>$AN$66=2</formula>
    </cfRule>
  </conditionalFormatting>
  <conditionalFormatting sqref="AA75">
    <cfRule type="expression" dxfId="81" priority="51">
      <formula>$AS$66=5</formula>
    </cfRule>
  </conditionalFormatting>
  <conditionalFormatting sqref="AB61">
    <cfRule type="expression" dxfId="80" priority="50">
      <formula>$AS$66=4</formula>
    </cfRule>
  </conditionalFormatting>
  <conditionalFormatting sqref="AB62">
    <cfRule type="expression" dxfId="79" priority="52">
      <formula>$AS$66=2</formula>
    </cfRule>
  </conditionalFormatting>
  <conditionalFormatting sqref="AB62:AC62">
    <cfRule type="expression" dxfId="78" priority="38">
      <formula>$AL$64=1</formula>
    </cfRule>
  </conditionalFormatting>
  <conditionalFormatting sqref="AB67:AC67">
    <cfRule type="expression" dxfId="77" priority="33">
      <formula>$AM$61=2</formula>
    </cfRule>
  </conditionalFormatting>
  <conditionalFormatting sqref="AB69:AC69">
    <cfRule type="expression" dxfId="76" priority="44">
      <formula>$AM$61=2</formula>
    </cfRule>
  </conditionalFormatting>
  <conditionalFormatting sqref="AB74:AC74">
    <cfRule type="expression" dxfId="75" priority="43">
      <formula>$AL$64=1</formula>
    </cfRule>
  </conditionalFormatting>
  <conditionalFormatting sqref="AC62:AC67">
    <cfRule type="expression" dxfId="74" priority="32">
      <formula>$AM$61=1</formula>
    </cfRule>
    <cfRule type="expression" dxfId="73" priority="34">
      <formula>$AM$61=2</formula>
    </cfRule>
  </conditionalFormatting>
  <conditionalFormatting sqref="AC68">
    <cfRule type="expression" dxfId="72" priority="31">
      <formula>$AM$61=1</formula>
    </cfRule>
  </conditionalFormatting>
  <conditionalFormatting sqref="AC69:AC74">
    <cfRule type="expression" dxfId="71" priority="30">
      <formula>$AL$64=1</formula>
    </cfRule>
  </conditionalFormatting>
  <conditionalFormatting sqref="AC71:AC72">
    <cfRule type="expression" dxfId="70" priority="29">
      <formula>$AM$61=2</formula>
    </cfRule>
  </conditionalFormatting>
  <conditionalFormatting sqref="AG112">
    <cfRule type="expression" dxfId="69" priority="5">
      <formula>$AL$132=1</formula>
    </cfRule>
  </conditionalFormatting>
  <dataValidations count="22">
    <dataValidation type="list" allowBlank="1" showInputMessage="1" showErrorMessage="1" sqref="G67:K67" xr:uid="{2CE42324-5BF7-468E-8CE9-DF3F898C18A2}">
      <formula1>$AL$71:$AL$74</formula1>
    </dataValidation>
    <dataValidation type="list" allowBlank="1" showInputMessage="1" showErrorMessage="1" sqref="P65:Q65" xr:uid="{01B7D2F8-E6F3-477A-92BF-86ADFE59312F}">
      <formula1>$AL$71:$AL$72</formula1>
    </dataValidation>
    <dataValidation type="list" allowBlank="1" showInputMessage="1" showErrorMessage="1" sqref="G89" xr:uid="{563A66F1-A302-4A42-B97E-4034890F3D0D}">
      <formula1>"12V,24V"</formula1>
    </dataValidation>
    <dataValidation type="list" allowBlank="1" showInputMessage="1" showErrorMessage="1" sqref="G91" xr:uid="{5A57589B-71F1-477F-B864-18D8E5AC0D7E}">
      <formula1>$AM$85:$AM$87</formula1>
    </dataValidation>
    <dataValidation type="list" allowBlank="1" showInputMessage="1" showErrorMessage="1" sqref="G93" xr:uid="{12C1F655-D9B8-46F5-B9E1-618B0A6C90B2}">
      <formula1>INDIRECT($AM$95)</formula1>
    </dataValidation>
    <dataValidation type="list" allowBlank="1" showInputMessage="1" showErrorMessage="1" sqref="G95" xr:uid="{C4B7F850-DE91-4121-88FE-EBDF0A6C4066}">
      <formula1>INDIRECT($AM$90)</formula1>
    </dataValidation>
    <dataValidation type="list" allowBlank="1" showInputMessage="1" showErrorMessage="1" sqref="G98 Q98:T98" xr:uid="{02F85638-AF68-49F6-ADBB-6820A07557E4}">
      <formula1>$AM$101:$AM$103</formula1>
    </dataValidation>
    <dataValidation type="whole" allowBlank="1" showInputMessage="1" showErrorMessage="1" sqref="G36 G23:O23 G27:O27" xr:uid="{E193F5CD-19B3-45A1-91BB-1BC25BA9E902}">
      <formula1>1</formula1>
      <formula2>1000</formula2>
    </dataValidation>
    <dataValidation type="list" allowBlank="1" showInputMessage="1" showErrorMessage="1" sqref="G19" xr:uid="{A58ECC2C-522E-499C-B3FC-F30546ABC444}">
      <formula1>INDIRECT(AO15)</formula1>
    </dataValidation>
    <dataValidation type="list" allowBlank="1" showInputMessage="1" showErrorMessage="1" sqref="G17" xr:uid="{59A17AC4-304D-4B09-BCC9-42B99727BC69}">
      <formula1>$AO$19:$AO$21</formula1>
    </dataValidation>
    <dataValidation type="list" allowBlank="1" showInputMessage="1" showErrorMessage="1" sqref="G31" xr:uid="{278E0888-4036-4C1C-9A68-A7E3EA1B0797}">
      <formula1>INDIRECT($AN$25)</formula1>
    </dataValidation>
    <dataValidation type="list" allowBlank="1" showInputMessage="1" showErrorMessage="1" sqref="F35 G25:G26" xr:uid="{B7FBE614-DF65-41B1-8B71-679BF26548CE}">
      <formula1>$AO$27:$AO$28</formula1>
    </dataValidation>
    <dataValidation type="list" allowBlank="1" showInputMessage="1" showErrorMessage="1" sqref="G21" xr:uid="{182CAA59-DF60-40AC-968A-827DB6D1E771}">
      <formula1>$AT$22:$AT$25</formula1>
    </dataValidation>
    <dataValidation type="list" allowBlank="1" showInputMessage="1" showErrorMessage="1" sqref="G34" xr:uid="{A41A7B16-B498-4B36-8EDB-C2DEB5205980}">
      <formula1>$AT$27:$AT$30</formula1>
    </dataValidation>
    <dataValidation type="list" allowBlank="1" showInputMessage="1" showErrorMessage="1" sqref="W110" xr:uid="{7136EA64-AB1F-4628-9443-131AC1F25019}">
      <formula1>$AT$106:$AT$107</formula1>
    </dataValidation>
    <dataValidation type="list" allowBlank="1" showInputMessage="1" showErrorMessage="1" sqref="G114" xr:uid="{3D6F84A1-FDE4-4EAD-8712-8FB26FB07A56}">
      <formula1>$BC$105:$BC$107</formula1>
    </dataValidation>
    <dataValidation type="list" allowBlank="1" showInputMessage="1" showErrorMessage="1" sqref="W114" xr:uid="{679AC082-8CE0-4DBD-8374-5BDA5CCDAD15}">
      <formula1>$BC$111:$BC$112</formula1>
    </dataValidation>
    <dataValidation type="list" showInputMessage="1" showErrorMessage="1" sqref="W112:X112" xr:uid="{74D84AFB-0C2B-4880-BBB5-D8854F3E02E4}">
      <formula1>$AL$129:$AL$130</formula1>
    </dataValidation>
    <dataValidation type="list" allowBlank="1" showInputMessage="1" showErrorMessage="1" sqref="AG112" xr:uid="{44B4FA3B-CB66-4AC9-B51F-264BA926198E}">
      <formula1>$AM$132:$AM$133</formula1>
    </dataValidation>
    <dataValidation type="whole" allowBlank="1" showInputMessage="1" showErrorMessage="1" sqref="G130:I130" xr:uid="{3210E4D2-1D07-4B14-AFBD-A7359BAC303F}">
      <formula1>1</formula1>
      <formula2>999</formula2>
    </dataValidation>
    <dataValidation type="list" allowBlank="1" showInputMessage="1" showErrorMessage="1" sqref="G63:K63" xr:uid="{6C0F87E7-8E9A-4540-8A36-0232A121D9A4}">
      <formula1>$AL$36:$AL$37</formula1>
    </dataValidation>
    <dataValidation type="list" allowBlank="1" showInputMessage="1" showErrorMessage="1" sqref="G65:K65" xr:uid="{20C341D6-700F-4D4D-A112-9C9F711F573E}">
      <formula1>$AL$38:$AL$39</formula1>
    </dataValidation>
  </dataValidations>
  <hyperlinks>
    <hyperlink ref="Z2:AB3" location="Úvod!A1" display="Úvod!A1" xr:uid="{CB3D0876-AA5A-4E2F-90BD-FA2CE79D19D5}"/>
    <hyperlink ref="AD107:AG108" location="Ovlad!A1" display="Ovlad!A1" xr:uid="{F6069D0C-48B0-461A-85AD-61C093ADA204}"/>
    <hyperlink ref="K130:N130" location="souhrn!A1" display="souhrn!A1" xr:uid="{DFE1A04B-A9AC-4738-9D1B-328DA3CD81FE}"/>
    <hyperlink ref="B5:E6" location="Sestava1!A1" display="Sestava1!A1" xr:uid="{E3647878-0E86-4BBB-A814-44D9EC2A06C0}"/>
    <hyperlink ref="H5:L6" location="Sestava2!A1" display="Sestava2!A1" xr:uid="{FE28F48A-E67A-4401-998D-CAEA537A6D2E}"/>
    <hyperlink ref="N5:Q6" location="Sestava3!A1" display="Sestava3!A1" xr:uid="{C5328668-284A-4FAA-ADE8-C6EF9F66D182}"/>
    <hyperlink ref="S5:W6" location="Sestava4!A1" display="Sestava4!A1" xr:uid="{EAE85D40-FD43-41D2-8DF5-FE47C21C3812}"/>
    <hyperlink ref="R130:U130" location="Sestava1!A1" display="Sestava1!A1" xr:uid="{CA964E25-E049-464F-A6CD-E711D4C3B248}"/>
    <hyperlink ref="W130:Z130" location="Sestava2!A1" display="Sestava2!A1" xr:uid="{EFCE31E9-C414-4126-932F-EE5B7E611959}"/>
    <hyperlink ref="AC130:AF130" location="Sestava4!A1" display="Sestava4!A1" xr:uid="{5BFEB5C7-76A3-451F-BA80-9D0AB228B199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3" id="{9B940F00-8379-4E21-87B5-EF983F1E7993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B17 G17 B19 G19 B21 G21 B23 G25 B25:B27 E26:G26 G27 B31 G31 G34 B34:B36 E35:F35 AK46 J53:K53</xm:sqref>
        </x14:conditionalFormatting>
        <x14:conditionalFormatting xmlns:xm="http://schemas.microsoft.com/office/excel/2006/main">
          <x14:cfRule type="expression" priority="22" id="{73B3925D-9BA9-46F6-A773-931F91B8883C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21" id="{FFFC070B-30C2-48F3-AF80-E4FB56F424AE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28" id="{BB997B05-F867-4EFF-9299-7A471453C8A9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27" id="{B194A85C-300E-40AE-BF15-7E72166BA168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34C82D0-543D-4DB9-991B-F02BA8A7F03D}">
          <x14:formula1>
            <xm:f>'data-zál'!$B$3:$B$4</xm:f>
          </x14:formula1>
          <xm:sqref>G69:K69</xm:sqref>
        </x14:dataValidation>
        <x14:dataValidation type="list" allowBlank="1" showInputMessage="1" showErrorMessage="1" xr:uid="{28E9192C-19FA-4924-AFA8-B76FC3D0353C}">
          <x14:formula1>
            <xm:f>Překlady!$C$42:$C$45</xm:f>
          </x14:formula1>
          <xm:sqref>G15</xm:sqref>
        </x14:dataValidation>
        <x14:dataValidation type="list" allowBlank="1" showInputMessage="1" showErrorMessage="1" xr:uid="{A8695FCD-388E-4096-AD93-A4309C567CEE}">
          <x14:formula1>
            <xm:f>Překlady!$C$85:$C$88</xm:f>
          </x14:formula1>
          <xm:sqref>G110</xm:sqref>
        </x14:dataValidation>
        <x14:dataValidation type="list" allowBlank="1" showInputMessage="1" showErrorMessage="1" xr:uid="{A5DCF14A-B537-4D85-9420-85D2BD8A95DE}">
          <x14:formula1>
            <xm:f>Překlady!$C$106:$C$108</xm:f>
          </x14:formula1>
          <xm:sqref>G38:O38</xm:sqref>
        </x14:dataValidation>
        <x14:dataValidation type="list" allowBlank="1" showInputMessage="1" showErrorMessage="1" xr:uid="{BE04B328-D662-4954-8D40-B4F859E764AA}">
          <x14:formula1>
            <xm:f>Překlady!$C$15:$C$16</xm:f>
          </x14:formula1>
          <xm:sqref>G101:K101</xm:sqref>
        </x14:dataValidation>
        <x14:dataValidation type="list" allowBlank="1" showInputMessage="1" showErrorMessage="1" xr:uid="{CAA28EA4-C4CA-4399-8458-FA00206DA966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A0BA3B66-465E-4777-B2F5-D8D3EBA61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06B266-7291-42C5-B827-B52B1C7CE2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2BDDB-BA68-4280-8087-FD8E0D83F803}">
  <ds:schemaRefs>
    <ds:schemaRef ds:uri="http://schemas.microsoft.com/office/2006/documentManagement/types"/>
    <ds:schemaRef ds:uri="cd5ff2c2-d0f5-469d-bf4e-c27dd00b986b"/>
    <ds:schemaRef ds:uri="9cacabe1-a925-4c8e-93ad-bc3cc27619b4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34</vt:i4>
      </vt:variant>
    </vt:vector>
  </HeadingPairs>
  <TitlesOfParts>
    <vt:vector size="53" baseType="lpstr">
      <vt:lpstr>Úvod</vt:lpstr>
      <vt:lpstr>Zak</vt:lpstr>
      <vt:lpstr>Interier</vt:lpstr>
      <vt:lpstr>Překlady</vt:lpstr>
      <vt:lpstr>Sestava1</vt:lpstr>
      <vt:lpstr>Ses1_pom</vt:lpstr>
      <vt:lpstr>Sestava2</vt:lpstr>
      <vt:lpstr>Ses2_pom</vt:lpstr>
      <vt:lpstr>Sestava3</vt:lpstr>
      <vt:lpstr>Ses3_pom</vt:lpstr>
      <vt:lpstr>Sestava4</vt:lpstr>
      <vt:lpstr>Ses4_pom</vt:lpstr>
      <vt:lpstr>souhrn</vt:lpstr>
      <vt:lpstr>Ovlad</vt:lpstr>
      <vt:lpstr>Produkty</vt:lpstr>
      <vt:lpstr>data-zál</vt:lpstr>
      <vt:lpstr>1066</vt:lpstr>
      <vt:lpstr>Vkarty</vt:lpstr>
      <vt:lpstr>Poplatky</vt:lpstr>
      <vt:lpstr>_1000_standard</vt:lpstr>
      <vt:lpstr>_2000_Begtin</vt:lpstr>
      <vt:lpstr>_2000_standard</vt:lpstr>
      <vt:lpstr>_3000_Begtin</vt:lpstr>
      <vt:lpstr>_3000_standard</vt:lpstr>
      <vt:lpstr>_4050_standard</vt:lpstr>
      <vt:lpstr>_Cabi</vt:lpstr>
      <vt:lpstr>bateriove</vt:lpstr>
      <vt:lpstr>k_zafrézování_bílá</vt:lpstr>
      <vt:lpstr>k_zafrézování_černá</vt:lpstr>
      <vt:lpstr>k_zafrézování_hliník</vt:lpstr>
      <vt:lpstr>k_zafrézování_stříbrná</vt:lpstr>
      <vt:lpstr>kineticke</vt:lpstr>
      <vt:lpstr>kinetické</vt:lpstr>
      <vt:lpstr>povrchová_bílá</vt:lpstr>
      <vt:lpstr>povrchová_černá</vt:lpstr>
      <vt:lpstr>povrchová_hliník</vt:lpstr>
      <vt:lpstr>povrchová_stříbrná</vt:lpstr>
      <vt:lpstr>Sestava2!profil</vt:lpstr>
      <vt:lpstr>Sestava3!profil</vt:lpstr>
      <vt:lpstr>Sestava4!profil</vt:lpstr>
      <vt:lpstr>profil</vt:lpstr>
      <vt:lpstr>RJ_bat</vt:lpstr>
      <vt:lpstr>RJ_kineticke</vt:lpstr>
      <vt:lpstr>roh_bílá</vt:lpstr>
      <vt:lpstr>roh_černá</vt:lpstr>
      <vt:lpstr>roh_hliník</vt:lpstr>
      <vt:lpstr>roh_stříbrná</vt:lpstr>
      <vt:lpstr>svítivost1</vt:lpstr>
      <vt:lpstr>svítivost2</vt:lpstr>
      <vt:lpstr>svítivost3</vt:lpstr>
      <vt:lpstr>teplota1</vt:lpstr>
      <vt:lpstr>teplota2</vt:lpstr>
      <vt:lpstr>teplota3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dcterms:created xsi:type="dcterms:W3CDTF">2026-04-16T11:40:59Z</dcterms:created>
  <dcterms:modified xsi:type="dcterms:W3CDTF">2026-07-28T06:55:01Z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