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.sharepoint.com/sites/E-Commerce/Sdilene dokumenty/Private/Konfigurátory/Potisk krytek/na web/"/>
    </mc:Choice>
  </mc:AlternateContent>
  <xr:revisionPtr revIDLastSave="1" documentId="8_{32CD99DF-89BB-45F3-AA18-5619FFC41F9A}" xr6:coauthVersionLast="47" xr6:coauthVersionMax="47" xr10:uidLastSave="{D4C1192E-3858-4377-B4F8-A3A9A51A0CA2}"/>
  <workbookProtection workbookAlgorithmName="SHA-512" workbookHashValue="OqglaTcfcZtvrWBMsSVtB6lMmIxA2Di7ChQSew8FjkLP3XZHGU2cdwYx4Xed5FYSg2XdZ5XNqWAiGCVPgV2Ezg==" workbookSaltValue="A9JdFFQOFOIu2awTkgVstw==" workbookSpinCount="100000" lockStructure="1"/>
  <bookViews>
    <workbookView showSheetTabs="0" xWindow="28680" yWindow="-120" windowWidth="38640" windowHeight="21120" xr2:uid="{090A1AAE-D06E-416A-9349-F1A0B1E64836}"/>
  </bookViews>
  <sheets>
    <sheet name="Úvod" sheetId="1" r:id="rId1"/>
    <sheet name="Zakaznik" sheetId="7" r:id="rId2"/>
    <sheet name="překlady" sheetId="2" state="hidden" r:id="rId3"/>
    <sheet name="Config" sheetId="3" r:id="rId4"/>
    <sheet name="data" sheetId="4" state="hidden" r:id="rId5"/>
    <sheet name="karty" sheetId="5" state="hidden" r:id="rId6"/>
    <sheet name="backup karty" sheetId="9" state="hidden" r:id="rId7"/>
    <sheet name="pro_tiskárnu" sheetId="8" state="hidden" r:id="rId8"/>
  </sheets>
  <definedNames>
    <definedName name="Blum_P">karty!$C$27:$C$33</definedName>
    <definedName name="Blum_Z">karty!$C$18:$C$26</definedName>
    <definedName name="Hettich_P">karty!$C$38:$C$39</definedName>
    <definedName name="Hettich_Z">karty!$C$34:$C$37</definedName>
    <definedName name="Strong_P">karty!$C$14:$C$17</definedName>
    <definedName name="Strong_Z">karty!$C$9:$C$13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2" l="1"/>
  <c r="A24" i="5"/>
  <c r="A25" i="5"/>
  <c r="A26" i="5"/>
  <c r="J26" i="5"/>
  <c r="P26" i="5" s="1"/>
  <c r="C26" i="5"/>
  <c r="J25" i="5"/>
  <c r="P25" i="5" s="1"/>
  <c r="C25" i="5"/>
  <c r="J24" i="5"/>
  <c r="P24" i="5" s="1"/>
  <c r="C24" i="5"/>
  <c r="V21" i="3"/>
  <c r="V22" i="3"/>
  <c r="V23" i="3"/>
  <c r="V20" i="3"/>
  <c r="W20" i="3" s="1"/>
  <c r="C14" i="3"/>
  <c r="C13" i="3"/>
  <c r="C12" i="3"/>
  <c r="C11" i="3"/>
  <c r="B2" i="4"/>
  <c r="V16" i="3"/>
  <c r="A27" i="5"/>
  <c r="A23" i="5"/>
  <c r="A22" i="5"/>
  <c r="A21" i="5"/>
  <c r="X24" i="4" l="1"/>
  <c r="Q24" i="4"/>
  <c r="AE24" i="4"/>
  <c r="W21" i="3"/>
  <c r="W22" i="3"/>
  <c r="W23" i="3"/>
  <c r="V14" i="3"/>
  <c r="AE21" i="4"/>
  <c r="X21" i="4"/>
  <c r="Q14" i="4"/>
  <c r="Q7" i="4"/>
  <c r="W19" i="3" l="1"/>
  <c r="J20" i="9"/>
  <c r="C20" i="9"/>
  <c r="A20" i="9"/>
  <c r="J18" i="9"/>
  <c r="C18" i="9"/>
  <c r="A18" i="9"/>
  <c r="J17" i="9"/>
  <c r="C17" i="9"/>
  <c r="A17" i="9"/>
  <c r="J16" i="9"/>
  <c r="C16" i="9"/>
  <c r="A16" i="9"/>
  <c r="J14" i="9"/>
  <c r="C14" i="9"/>
  <c r="A14" i="9"/>
  <c r="J13" i="9"/>
  <c r="C13" i="9"/>
  <c r="A13" i="9"/>
  <c r="J12" i="9"/>
  <c r="C12" i="9"/>
  <c r="A12" i="9"/>
  <c r="J3" i="9"/>
  <c r="J4" i="9"/>
  <c r="J5" i="9"/>
  <c r="J6" i="9"/>
  <c r="J2" i="9"/>
  <c r="J10" i="9"/>
  <c r="C10" i="9"/>
  <c r="A10" i="9"/>
  <c r="J9" i="9"/>
  <c r="C9" i="9"/>
  <c r="A9" i="9"/>
  <c r="J8" i="9"/>
  <c r="C8" i="9"/>
  <c r="A8" i="9"/>
  <c r="C9" i="8"/>
  <c r="V15" i="3" l="1"/>
  <c r="W12" i="3" s="1"/>
  <c r="Q22" i="4"/>
  <c r="Q21" i="4"/>
  <c r="Q18" i="4"/>
  <c r="Q11" i="4"/>
  <c r="Q15" i="4" l="1"/>
  <c r="Q16" i="4"/>
  <c r="Q17" i="4"/>
  <c r="Q8" i="4"/>
  <c r="Q9" i="4"/>
  <c r="Q10" i="4"/>
  <c r="A17" i="5" l="1"/>
  <c r="A37" i="5"/>
  <c r="A39" i="5"/>
  <c r="C12" i="8"/>
  <c r="D1" i="2" l="1"/>
  <c r="J17" i="3" l="1"/>
  <c r="B54" i="2"/>
  <c r="B11" i="3" s="1"/>
  <c r="B53" i="2"/>
  <c r="E19" i="7" s="1"/>
  <c r="H17" i="3"/>
  <c r="E17" i="3"/>
  <c r="E16" i="3"/>
  <c r="B4" i="2"/>
  <c r="A1" i="2" s="1"/>
  <c r="B16" i="2"/>
  <c r="B28" i="2"/>
  <c r="B40" i="2"/>
  <c r="L23" i="3" s="1"/>
  <c r="B17" i="2"/>
  <c r="B29" i="2"/>
  <c r="B41" i="2"/>
  <c r="B22" i="3" s="1"/>
  <c r="B18" i="2"/>
  <c r="B30" i="2"/>
  <c r="B42" i="2"/>
  <c r="B7" i="2"/>
  <c r="B31" i="2"/>
  <c r="B43" i="2"/>
  <c r="B8" i="2"/>
  <c r="B32" i="2"/>
  <c r="B44" i="2"/>
  <c r="E8" i="3" s="1"/>
  <c r="B21" i="2"/>
  <c r="B45" i="2"/>
  <c r="B10" i="2"/>
  <c r="B10" i="3" s="1"/>
  <c r="B46" i="2"/>
  <c r="E30" i="7" s="1"/>
  <c r="B23" i="2"/>
  <c r="B49" i="2"/>
  <c r="B24" i="2"/>
  <c r="B50" i="2"/>
  <c r="G8" i="3" s="1"/>
  <c r="B13" i="2"/>
  <c r="B37" i="2"/>
  <c r="B14" i="2"/>
  <c r="B38" i="2"/>
  <c r="B6" i="3" s="1"/>
  <c r="B15" i="2"/>
  <c r="B3" i="2"/>
  <c r="B5" i="2"/>
  <c r="B19" i="2"/>
  <c r="B20" i="2"/>
  <c r="B9" i="2"/>
  <c r="B33" i="2"/>
  <c r="B34" i="2"/>
  <c r="B11" i="2"/>
  <c r="B35" i="2"/>
  <c r="B12" i="2"/>
  <c r="B36" i="2"/>
  <c r="B25" i="2"/>
  <c r="B51" i="2"/>
  <c r="G16" i="3" s="1"/>
  <c r="B26" i="2"/>
  <c r="B52" i="2"/>
  <c r="I16" i="3" s="1"/>
  <c r="B27" i="2"/>
  <c r="B6" i="2"/>
  <c r="B22" i="2"/>
  <c r="B39" i="2"/>
  <c r="R32" i="7" s="1"/>
  <c r="I27" i="4" l="1"/>
  <c r="I25" i="4"/>
  <c r="B20" i="3"/>
  <c r="A28" i="1"/>
  <c r="B32" i="7"/>
  <c r="E25" i="7"/>
  <c r="L2" i="1"/>
  <c r="E8" i="7" l="1"/>
  <c r="E11" i="7"/>
  <c r="E13" i="7"/>
  <c r="E15" i="7"/>
  <c r="E17" i="7"/>
  <c r="E23" i="7"/>
  <c r="H5" i="7"/>
  <c r="E21" i="7" l="1"/>
  <c r="E27" i="7"/>
  <c r="B24" i="3"/>
  <c r="B16" i="3"/>
  <c r="B17" i="3"/>
  <c r="L2" i="3"/>
  <c r="A16" i="5"/>
  <c r="A18" i="5"/>
  <c r="A19" i="5"/>
  <c r="A20" i="5"/>
  <c r="A28" i="5"/>
  <c r="A29" i="5"/>
  <c r="A30" i="5"/>
  <c r="Q2" i="7" l="1"/>
  <c r="A10" i="5"/>
  <c r="A11" i="5"/>
  <c r="A12" i="5"/>
  <c r="A13" i="5"/>
  <c r="A14" i="5"/>
  <c r="A15" i="5"/>
  <c r="A31" i="5"/>
  <c r="A32" i="5"/>
  <c r="A33" i="5"/>
  <c r="A38" i="5"/>
  <c r="A34" i="5"/>
  <c r="A35" i="5"/>
  <c r="A36" i="5"/>
  <c r="A9" i="5"/>
  <c r="F1" i="5" l="1"/>
  <c r="J21" i="5" l="1"/>
  <c r="P21" i="5" s="1"/>
  <c r="J36" i="5"/>
  <c r="C23" i="5"/>
  <c r="C11" i="5"/>
  <c r="C18" i="5"/>
  <c r="J9" i="5"/>
  <c r="P9" i="5" s="1"/>
  <c r="C15" i="5"/>
  <c r="C14" i="5"/>
  <c r="C28" i="5"/>
  <c r="C12" i="5"/>
  <c r="J10" i="5"/>
  <c r="P10" i="5" s="1"/>
  <c r="J22" i="5"/>
  <c r="P22" i="5" s="1"/>
  <c r="J37" i="5"/>
  <c r="C37" i="5"/>
  <c r="C22" i="5"/>
  <c r="C10" i="5"/>
  <c r="J38" i="5"/>
  <c r="P38" i="5" s="1"/>
  <c r="C35" i="5"/>
  <c r="C19" i="5"/>
  <c r="C33" i="5"/>
  <c r="C31" i="5"/>
  <c r="C30" i="5"/>
  <c r="J33" i="5"/>
  <c r="P33" i="5" s="1"/>
  <c r="C13" i="5"/>
  <c r="J11" i="5"/>
  <c r="J23" i="5"/>
  <c r="P23" i="5" s="1"/>
  <c r="C36" i="5"/>
  <c r="C21" i="5"/>
  <c r="C9" i="5"/>
  <c r="J27" i="5"/>
  <c r="P27" i="5" s="1"/>
  <c r="C20" i="5"/>
  <c r="J29" i="5"/>
  <c r="P29" i="5" s="1"/>
  <c r="C17" i="5"/>
  <c r="J19" i="5"/>
  <c r="P19" i="5" s="1"/>
  <c r="J35" i="5"/>
  <c r="P35" i="5" s="1"/>
  <c r="J12" i="5"/>
  <c r="P12" i="5" s="1"/>
  <c r="J13" i="5"/>
  <c r="P13" i="5" s="1"/>
  <c r="J28" i="5"/>
  <c r="J39" i="5"/>
  <c r="P39" i="5" s="1"/>
  <c r="C34" i="5"/>
  <c r="J31" i="5"/>
  <c r="P31" i="5" s="1"/>
  <c r="J32" i="5"/>
  <c r="P32" i="5" s="1"/>
  <c r="C29" i="5"/>
  <c r="C39" i="5"/>
  <c r="C38" i="5"/>
  <c r="J14" i="5"/>
  <c r="P14" i="5" s="1"/>
  <c r="J18" i="5"/>
  <c r="P18" i="5" s="1"/>
  <c r="C27" i="5"/>
  <c r="J15" i="5"/>
  <c r="P15" i="5" s="1"/>
  <c r="J30" i="5"/>
  <c r="P30" i="5" s="1"/>
  <c r="C32" i="5"/>
  <c r="C16" i="5"/>
  <c r="J20" i="5"/>
  <c r="P20" i="5" s="1"/>
  <c r="J16" i="5"/>
  <c r="P16" i="5" s="1"/>
  <c r="J17" i="5"/>
  <c r="P17" i="5" s="1"/>
  <c r="J34" i="5"/>
  <c r="P34" i="5" s="1"/>
  <c r="P37" i="5"/>
  <c r="P28" i="5"/>
  <c r="P11" i="5"/>
  <c r="P36" i="5"/>
  <c r="C10" i="8" l="1"/>
  <c r="C15" i="8" s="1"/>
  <c r="F6" i="3"/>
  <c r="B7" i="3" s="1"/>
  <c r="X10" i="3"/>
  <c r="A7" i="3"/>
  <c r="B1" i="4"/>
  <c r="B4" i="3"/>
  <c r="B5" i="3"/>
  <c r="B8" i="3"/>
  <c r="U27" i="5"/>
  <c r="C13" i="8" l="1"/>
  <c r="W6" i="3"/>
  <c r="W5" i="3" s="1"/>
  <c r="D1" i="4"/>
  <c r="B6" i="1"/>
  <c r="B29" i="3" a="1"/>
  <c r="B29" i="3" l="1"/>
  <c r="AE20" i="4"/>
  <c r="AE23" i="4" s="1"/>
  <c r="AE26" i="4" s="1"/>
  <c r="X20" i="4"/>
  <c r="X23" i="4" s="1"/>
  <c r="X26" i="4" s="1"/>
  <c r="AC27" i="4" s="1"/>
  <c r="Q20" i="4"/>
  <c r="Q23" i="4" s="1"/>
  <c r="Q26" i="4" s="1"/>
  <c r="Q27" i="4" l="1"/>
  <c r="R27" i="4"/>
  <c r="V27" i="4"/>
  <c r="AB27" i="4"/>
  <c r="G17" i="3" s="1"/>
  <c r="AA27" i="4"/>
  <c r="X27" i="4"/>
  <c r="Z27" i="4"/>
  <c r="Y27" i="4"/>
  <c r="AI27" i="4"/>
  <c r="AH27" i="4"/>
  <c r="AG27" i="4"/>
  <c r="AE27" i="4"/>
  <c r="I17" i="3" s="1"/>
  <c r="AF27" i="4"/>
  <c r="U27" i="4"/>
  <c r="T27" i="4"/>
  <c r="S27" i="4"/>
  <c r="D16" i="3" l="1"/>
  <c r="D17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<sst xmlns="http://schemas.openxmlformats.org/spreadsheetml/2006/main" count="913" uniqueCount="601">
  <si>
    <t>CZ</t>
  </si>
  <si>
    <t>SK</t>
  </si>
  <si>
    <t>PL</t>
  </si>
  <si>
    <t>HU</t>
  </si>
  <si>
    <t>EN</t>
  </si>
  <si>
    <t>česky</t>
  </si>
  <si>
    <t>slovensky</t>
  </si>
  <si>
    <t>polsky</t>
  </si>
  <si>
    <t>madarsky</t>
  </si>
  <si>
    <t>anglicky</t>
  </si>
  <si>
    <t>Konfigurátor krytek</t>
  </si>
  <si>
    <t>Plast</t>
  </si>
  <si>
    <t>Kov</t>
  </si>
  <si>
    <t>Materiál krytky</t>
  </si>
  <si>
    <t>Počet barev loga (1-4)</t>
  </si>
  <si>
    <t>ks</t>
  </si>
  <si>
    <t>1 barva</t>
  </si>
  <si>
    <t>2 barvy</t>
  </si>
  <si>
    <t>3 barvy</t>
  </si>
  <si>
    <t>4 barvy</t>
  </si>
  <si>
    <t>Příprava</t>
  </si>
  <si>
    <t>Op.tisku</t>
  </si>
  <si>
    <t>Zpracování grafiky /náhled/</t>
  </si>
  <si>
    <t>Příprava opakovaného tisku za každou barvu</t>
  </si>
  <si>
    <t>Plast 1; Kov 2 :</t>
  </si>
  <si>
    <t>Počet barev:</t>
  </si>
  <si>
    <t>Cena za ks</t>
  </si>
  <si>
    <t>Počet</t>
  </si>
  <si>
    <t>Opakovaný tisk?</t>
  </si>
  <si>
    <t>ano</t>
  </si>
  <si>
    <t>ne</t>
  </si>
  <si>
    <t>Poplatek za opakovaný tisk</t>
  </si>
  <si>
    <t>Poplatek za přípravu</t>
  </si>
  <si>
    <t>Příprava grafiky</t>
  </si>
  <si>
    <t>Zpracování grafiky</t>
  </si>
  <si>
    <t>Celková cena</t>
  </si>
  <si>
    <t>Marže</t>
  </si>
  <si>
    <t>CZK</t>
  </si>
  <si>
    <t>značka</t>
  </si>
  <si>
    <t>Blum</t>
  </si>
  <si>
    <t>typ</t>
  </si>
  <si>
    <t>materiál</t>
  </si>
  <si>
    <t>BLUM 70.1503 krytka ramínka pro naložený závěs, bez loga</t>
  </si>
  <si>
    <t>BLUM 70.1503 krytka ramienka bez loga</t>
  </si>
  <si>
    <t>BLUM 70.1503 zaślepka ramienia do zawiasu nakładanego, bez logo</t>
  </si>
  <si>
    <t>BL 70.1503 kartakaró ráütődő pántra, logó nélkül</t>
  </si>
  <si>
    <t>BLUM 70.1503 arm cover cap for overlay hinge, without logo</t>
  </si>
  <si>
    <t>Značka</t>
  </si>
  <si>
    <t>Krytka</t>
  </si>
  <si>
    <t>Hettich</t>
  </si>
  <si>
    <t>S*</t>
  </si>
  <si>
    <t>O</t>
  </si>
  <si>
    <t>závěs=P</t>
  </si>
  <si>
    <t>zásuvka=Z</t>
  </si>
  <si>
    <t>Strong</t>
  </si>
  <si>
    <t>Z</t>
  </si>
  <si>
    <t>P</t>
  </si>
  <si>
    <t>92597T</t>
  </si>
  <si>
    <t>IN800B</t>
  </si>
  <si>
    <t>StrongBox krytka pro tisk bílá - kus</t>
  </si>
  <si>
    <t>StrongBox krytka pre tlač biela - kus</t>
  </si>
  <si>
    <t>StrongBox zaślepka bez logo z możliwością nadruku biała sztuka</t>
  </si>
  <si>
    <t>StrongBox takarósapka nyomtatásra fehér - darab</t>
  </si>
  <si>
    <t>StrongBox cover cap to print white - piece</t>
  </si>
  <si>
    <t>StrongBox Krytka pro tisk šedá - kus</t>
  </si>
  <si>
    <t>StrongBox krytka pre tlač sivá - kus</t>
  </si>
  <si>
    <t>StrongBox zaślepka bez logo z możliwością nadruku szara sztuka</t>
  </si>
  <si>
    <t>StrongBox takarósapka nyomtatásra szürke - darab</t>
  </si>
  <si>
    <t>StrongBox cover cap to print grey - piece</t>
  </si>
  <si>
    <t>StrongMax 16/18 krytka pro tisk plast, bílá</t>
  </si>
  <si>
    <t>StrongMax 16/18 krytka pre tlač plast, biela</t>
  </si>
  <si>
    <t>StrongMax 16/18 zaślepka do druku biała</t>
  </si>
  <si>
    <t>StrongMax 16/18 műanyag takarósapka,nyomtatásra fehér</t>
  </si>
  <si>
    <t>StrongMax 16 printing cap plastic, white</t>
  </si>
  <si>
    <t>StrongMax 16/18 krytka pro tisk plast, šedá</t>
  </si>
  <si>
    <t>StrongMax 16/18 krytka pre tlač plast, šedá</t>
  </si>
  <si>
    <t>ZASLEPKA StrongMax 16/18 do nadruku , szara</t>
  </si>
  <si>
    <t>StrongMax 16/18 műanyag takarósapka,nyomtatásra szürke</t>
  </si>
  <si>
    <t>StrongMax 16 printing cap plastic, grey</t>
  </si>
  <si>
    <t>StrongMax 16/18 krytka pro tisk plast, černá</t>
  </si>
  <si>
    <t>StrongMax 16/18 krytka pre tlač plast, čierna</t>
  </si>
  <si>
    <t>StrongMax 16/18 zaślepka do druku, czarna</t>
  </si>
  <si>
    <t>StrongMax 16/18 műanyag takarósapka,nyomtatásra fekete</t>
  </si>
  <si>
    <t>StrongMax 16/18 print cover plastic, black</t>
  </si>
  <si>
    <t>StrongHinges S3 krytka ramínka naloženého závěsu</t>
  </si>
  <si>
    <t>StrongHinges S3 krytka ramienka naloženého závesu</t>
  </si>
  <si>
    <t>StrongHinges S3 zaślepka na ramię zawiasu nakładanego</t>
  </si>
  <si>
    <t>StrongHinges S3 takarósapka pántkarra ráütődő pánt</t>
  </si>
  <si>
    <t>StrongHinges S3 arm cover cap for full overlay hinge</t>
  </si>
  <si>
    <t>StrongHinges S3 krytka ramínka polonaloženého a vloženého závěsu</t>
  </si>
  <si>
    <t>StrongHinges S3 krytka ramienka polonaloženého a vloženého závesu</t>
  </si>
  <si>
    <t>StrongHinges S3 zaślepka na ramię zawiasu półnakładanego i wpuszczanego</t>
  </si>
  <si>
    <t>StrongHinges S3 takarósapka pántkarra féligráütődő  és közézáródó pánt</t>
  </si>
  <si>
    <t>StrongHinges S3 arm cover cap for half overlay and inset hinge</t>
  </si>
  <si>
    <t>StrongHinges S5 krytka ramínka tlumených závěsů</t>
  </si>
  <si>
    <t>StrongHinges S5 krytka ramienka tlmených závesov</t>
  </si>
  <si>
    <t>StrongHinges S5 zaślepka na ramię zawiasów z tłumieniem</t>
  </si>
  <si>
    <t>StrongHinges S5 takarósapka pántkarra csillapított pántokhoz</t>
  </si>
  <si>
    <t>StrongHinges S5 arm cover cap for soft closing hinge</t>
  </si>
  <si>
    <t>BLUM ZA7.0700 vnější krytka Legrabox na potisk bílá SW-M</t>
  </si>
  <si>
    <t>BLUM ZA7.0700 vonkajšia krytka Legrabox pre potlač biela SW-M</t>
  </si>
  <si>
    <t>BLUM ZA7.0700 zaślepka wewnętrzna Legrabox biała SW-M</t>
  </si>
  <si>
    <t>BLUM ZA7.0700 külső takarósapka Legrabox fehér SW-M</t>
  </si>
  <si>
    <t>BLUM ZA7.0700 outer cover cap Legrabox white SW-M</t>
  </si>
  <si>
    <t>BLUM ZA7.0700 vnější krytka Legrabox na potisk šedá OG-M</t>
  </si>
  <si>
    <t>BLUM ZA7.0700 vonkajšia krytka Legrabox na potlač sivá OG-M</t>
  </si>
  <si>
    <t>BLUM ZA7.0700 wewnętrzna zaślepka Legrabox na drukowanie szara OG-M</t>
  </si>
  <si>
    <t>BLUM ZA7.0700 külső takarósapka Legrabox szürke OG-M</t>
  </si>
  <si>
    <t>BLUM ZA7.0700 Legrabox outer cap to be printeg gray OG-M</t>
  </si>
  <si>
    <t>BLUM ZA7.0709 vnější krytka Legrabox na potisk nerez broušená IN-G</t>
  </si>
  <si>
    <t>BLUM ZA7.0709 vonkajšia krytka Legrabox na potisk inox brúsená IN-G</t>
  </si>
  <si>
    <t>BLUM ZA7.0709 zaślepka Legrabox do nadruku inox szczotkowana IN-G</t>
  </si>
  <si>
    <t>BLUM ZA7.0709 takarósapka Legrabox nyomtatásra inox csiszolt IN-G</t>
  </si>
  <si>
    <t>BLUM ZA7.0709 Legrabox outer cap to be printed brushed inox IN-G</t>
  </si>
  <si>
    <t>BLUM ZA7.0709 vnější krytka Legrabox na potisk měď broušená KU-G</t>
  </si>
  <si>
    <t>BLUM ZA7.0709 vonkajšia krytka Legrabox na potlač meď brúsená KU-G</t>
  </si>
  <si>
    <t>BLUM ZA7.0709 külső takaróelem Legrabox rendszerhez, nyomtatáshoz – csiszolt réz</t>
  </si>
  <si>
    <t>BLUM ZA7.0709 outer cover Legrabox for printing copper brushed KU-G</t>
  </si>
  <si>
    <t>BLUM ZA7.0700 vnější krytka Legrabox na potisk karbon černá CS-M</t>
  </si>
  <si>
    <t>BLUM ZA7.0700 vonkajšia krytka Legrabox pre potlač karbon čierna CS-M</t>
  </si>
  <si>
    <t>BLUM ZA7.0700 külső takaróelem Legrabox rendszerhez, nyomtatáshoz – karbonfekete</t>
  </si>
  <si>
    <t>BLUM ZA7.0700 outer cover Legrabox for printing carbon black CS-M</t>
  </si>
  <si>
    <t>BLUM ABD.1009 vnější krytka Merivobox / Aventos top pro potisk, broušená nerez</t>
  </si>
  <si>
    <t>BLUM ABD.1009 vonkajšia krytka Merivobox / Aventos top pre potlač, brúsený inox</t>
  </si>
  <si>
    <t>BLUM ABD.1009 zaślepka zewnętrzna MERIVOBOX / bez logo, do druku, szczotkow.inox</t>
  </si>
  <si>
    <t>BLUM ABD.1009 külső sapka MERIVOBOX embléma nélkül, nyomtatáshoz, csiszolt inox</t>
  </si>
  <si>
    <t>BLUM ABD.1009 outside cover cap MERIVOBOX, for printing, brushed inox</t>
  </si>
  <si>
    <t>BLUM ABD.1000 vnější krytka Merivobox / Aventos top pro potisk, bílá, SW-M</t>
  </si>
  <si>
    <t>BLUM ABD.1000 vonkajšia krytka Merivobox / Aventos top pre potlač, biela, SW-M</t>
  </si>
  <si>
    <t>BLUM ABD.1000 zaślepka zewnętrzna Merivobox / Aventos top za nadruk, biała, SW-M</t>
  </si>
  <si>
    <t>BLUM ABD.1000 külső takarósapka MERIVOBOX embléma nélkül, nyomtatáshoz, fehér, S</t>
  </si>
  <si>
    <t>BLUM ABD.1000 outer cover cap MERIVOBOX w/o logo, for branding, white, SW-M</t>
  </si>
  <si>
    <t>BLUM ABD.1000 vnější krytka Merivobox / Aventos top pro potisk, šedá, IG-M</t>
  </si>
  <si>
    <t>BLUM ABD.1000 vonkajšia krytka Merivobox / Aventos top pre potlač, sivá, IG-M</t>
  </si>
  <si>
    <t>BLUM ABD.1000 zaślepka zewnętrzna Merivobox / Aventos top za nadruk, szara, IG-M</t>
  </si>
  <si>
    <t>BLUM ABD.1000 külső takarósapka MERIVOBOX embléma nélkül, nyomtatáshoz, szürke,</t>
  </si>
  <si>
    <t>BLUM ABD.1000 outer cover cap MERIVOBOX w/o logo, for branding, grey, IG-M</t>
  </si>
  <si>
    <t>BLUM ABD.1000 vnější krytka Merivobox / Aventos top pro potisk, tmavě šedá, OG-M</t>
  </si>
  <si>
    <t>BLUM ABD.1000 vonkajšia krytka Merivobox/Aventos top pre potlač tmavo sivá OG-M</t>
  </si>
  <si>
    <t>BLUM ABD.1000 külső takarósapka MERIVOBOX embléma nélkül, nyomtatáshoz, sötét sz</t>
  </si>
  <si>
    <t>BLUM ABD.1000 outer cover cap MERIVOBOX w/o logo, for branding, dark grey, OG-M</t>
  </si>
  <si>
    <t>BLUM ZAA.532C krytka Antaro bez loga plast bílá</t>
  </si>
  <si>
    <t>BLUM ZAA.532C krytka Antaro bez loga plast biela</t>
  </si>
  <si>
    <t>BLUM ZAA.532C zaślepka Antaro bez logo, jedwabiście biała</t>
  </si>
  <si>
    <t>BL ZAA.532C takaró.ANT-IN logó nélkül.műanyag fehér</t>
  </si>
  <si>
    <t>BLUM ZAA.532C cover cap Antaro without logo white</t>
  </si>
  <si>
    <t>BLUM ZAA.532C krytka Antaro bez loga plast šedá</t>
  </si>
  <si>
    <t>BLUM ZAA.532C zaślepka Antaro bez logo, szara</t>
  </si>
  <si>
    <t>BLUM ZAA.532C takarósapka Antaro  logó nélkül műanyag szürke</t>
  </si>
  <si>
    <t>BLUM ZAA.532C cover cap Antaro without logo grey</t>
  </si>
  <si>
    <t>BLUM 70.1663 krytka ramínka pro polonaložený a vložený závěs, bez loga</t>
  </si>
  <si>
    <t>BLUM 70.1663 krytka ramienka pre polonaložený a vložený záves, bez loga</t>
  </si>
  <si>
    <t>BLUM 70.1663 zaślepka ramienia do półnakładanego i nakładanego zawiasu, bez logo</t>
  </si>
  <si>
    <t>BLUM 70.1663 pántkar takaró féligráütődő és közézáródó pánthoz,  logó nélkül</t>
  </si>
  <si>
    <t>BLUM 70.1663 arm cover cap for half-overlay and overlay hinge, without logo</t>
  </si>
  <si>
    <t>BLUM 70.1553 krytka ramínka</t>
  </si>
  <si>
    <t>BLUM 70.1553 krytka ramienka</t>
  </si>
  <si>
    <t>BLUM 70.1553 zaślepka ramienia bez logo</t>
  </si>
  <si>
    <t>BL 70.1553 Kar takarósapka</t>
  </si>
  <si>
    <t>BLUM 70.1553 arm cover cap</t>
  </si>
  <si>
    <t>BLUM 90M2503 krytka ramínka</t>
  </si>
  <si>
    <t>BLUM 90M2503 krytka ramienka</t>
  </si>
  <si>
    <t>BLUM 90M2503 zaślepka ramienia</t>
  </si>
  <si>
    <t>BL 90M2503 Kar takarósapka</t>
  </si>
  <si>
    <t>BLUM 90M2503 arm cover cap</t>
  </si>
  <si>
    <t>BLUM 70.1503 krytka ramínka bez loga Onyx</t>
  </si>
  <si>
    <t>BLUM 70.1503 krytka ramienka bez loga Onyx</t>
  </si>
  <si>
    <t>BLUM 70.1503 zaślepka ramienia bez logo Onyx</t>
  </si>
  <si>
    <t>BLUM 70.1503 pántkar takaró  logó nélkül Onyx</t>
  </si>
  <si>
    <t>BLUM 70.1503 arm cover cap without logo onyx</t>
  </si>
  <si>
    <t>BLUM 70.1553 krytka ramínka bez loga Onyx</t>
  </si>
  <si>
    <t>BLUM 70.1553 krytka ramienka bez loga ONYX</t>
  </si>
  <si>
    <t>BLUM 70.1553 zaślepka ramienia bez logo Onyx</t>
  </si>
  <si>
    <t>BLUM 70.1553 pántkar takaró  logó nélkül Onyx</t>
  </si>
  <si>
    <t>BLUM 70.1553 arm cover cap without logo Onyx</t>
  </si>
  <si>
    <t>BLUM 70.4503 krytka ramínka Cristallo, tenký materiál, 125°/155° new, bez loga</t>
  </si>
  <si>
    <t>BLUM 70.4503 krytka ramienka Cristallo, tenký materiál, 125°/155° new, bez loga</t>
  </si>
  <si>
    <t>BLUM 70.4503 zaślepka ramienia Cristallo, NEW</t>
  </si>
  <si>
    <t>BLUM 70.4503 pántkar takaró pánt vékony anyag, Cristallo, 155° new</t>
  </si>
  <si>
    <t>BLUM 70.4503 arm cover cap for thin material, Cristallo, 155° new</t>
  </si>
  <si>
    <t>HETTICH 9101552 Intermat krytka ramínka</t>
  </si>
  <si>
    <t>HETTICH 9101552 Intermat krytka ramienka</t>
  </si>
  <si>
    <t>HETTICH 9101552 INTERMAT zaślepka ramienia</t>
  </si>
  <si>
    <t>HETTICH 9101552 Intermat pántkar takaró</t>
  </si>
  <si>
    <t>HETTICH 9101552 Intermat arm cover cap</t>
  </si>
  <si>
    <t>HETTICH 9194643 Atira krytka šedá</t>
  </si>
  <si>
    <t>HETTICH 9194643 Atira krytka sivá</t>
  </si>
  <si>
    <t>HETTICH 9194643 ATIRA zaślepka szara</t>
  </si>
  <si>
    <t>HETTICH 9194643 Atira takarósapka szürke</t>
  </si>
  <si>
    <t>HETTICH 9194643 Atira cover cap grey</t>
  </si>
  <si>
    <t>HETTICH 9194644 Atira krytka bílá</t>
  </si>
  <si>
    <t>HETTICH 9194644 Atira krytka biela</t>
  </si>
  <si>
    <t>HETTICH 9194644 ATIRA zaślepka bez logo biały</t>
  </si>
  <si>
    <t>HETTICH 9194644 Atira takarósapka fehér</t>
  </si>
  <si>
    <t>HETTICH 9194644 Atira cover cap white</t>
  </si>
  <si>
    <t>HETTICH 9194645 Atira krytka tmavošedá</t>
  </si>
  <si>
    <t>HETTICH 9194645 Atira krytka tmavosivá</t>
  </si>
  <si>
    <t>HETTICH 9194645 ATIRA zaślepka ciemnoszara</t>
  </si>
  <si>
    <t>HETTICH 9194645 Atira takarósapka sötétszürke</t>
  </si>
  <si>
    <t>HETTICH 9194645 Atira cover cap dark grey</t>
  </si>
  <si>
    <t>HETTICH 9082612 krytka pro ramínko závěsu (kromě 165°) bez loga nikl</t>
  </si>
  <si>
    <t>HETTICH 9289611 Veosys krytka ramínka bez loga nerez</t>
  </si>
  <si>
    <t>HETTICH 9289611 Veosys cap hangers without logo stainless steel</t>
  </si>
  <si>
    <t>HETTICH 9308181 krytka pro ramínko závěsu (kromě 165°) bez loga obsidián</t>
  </si>
  <si>
    <t>HETTICH 9308181 krytka pre ramienko závesu  (okrem 165°) bez loga obsidián</t>
  </si>
  <si>
    <t>HETTICH 9308181 zaślepka na ramię zawiasu (oprócz 165°) bez logo obsydian</t>
  </si>
  <si>
    <t>HETTICH 9270186 AvanTech You klip pro logo, bílá</t>
  </si>
  <si>
    <t>HETTICH 9270186 AvanTech You logo clip, white</t>
  </si>
  <si>
    <t>HETTICH 9270185 AvanTech You klip pro logo, stříbrná</t>
  </si>
  <si>
    <t>HETTICH 9270185 AvanTech You logo clip, silver</t>
  </si>
  <si>
    <t>HETTICH 9270187 AvanTech You klip pro logo, antracit</t>
  </si>
  <si>
    <t>HETTICH 9270187 AvanTech You clip for logo, anthracite</t>
  </si>
  <si>
    <t>Základní cena za 1 krytku</t>
  </si>
  <si>
    <t>Cena krytky po slevě</t>
  </si>
  <si>
    <t>Plast_1</t>
  </si>
  <si>
    <t>Plast_2</t>
  </si>
  <si>
    <t>Plast_3</t>
  </si>
  <si>
    <t>Plast_4</t>
  </si>
  <si>
    <t>Kov_1</t>
  </si>
  <si>
    <t>Kov_2</t>
  </si>
  <si>
    <t>Kov_3</t>
  </si>
  <si>
    <t>Kov_4</t>
  </si>
  <si>
    <t>Cena za tisk</t>
  </si>
  <si>
    <t>Cena za 1 krytku s potiskem</t>
  </si>
  <si>
    <t>Celková cena krytek s potiskem</t>
  </si>
  <si>
    <t>Cena za krytku</t>
  </si>
  <si>
    <t>Sleva na krytky v %</t>
  </si>
  <si>
    <t>Úvod</t>
  </si>
  <si>
    <t>Značka krytky</t>
  </si>
  <si>
    <t>Krytka na</t>
  </si>
  <si>
    <t>závěs</t>
  </si>
  <si>
    <t>Vždy používejte aktuální verzi formuláře, který je dostupný na našich stánkách.</t>
  </si>
  <si>
    <t xml:space="preserve">Vyplňte prosím vaše kontaktní údaje a poté klikněte na požadované políčko níže. </t>
  </si>
  <si>
    <t>Číslo objednávky</t>
  </si>
  <si>
    <t>Zákazník</t>
  </si>
  <si>
    <t>IČ:</t>
  </si>
  <si>
    <t>Kontaktní tel.</t>
  </si>
  <si>
    <t>Kontaktný tel.</t>
  </si>
  <si>
    <t>Uvedené ceny jsou bez DPH!</t>
  </si>
  <si>
    <t>Uvedené ceny sú bez DPH!</t>
  </si>
  <si>
    <t xml:space="preserve">Při vyplňování formuláře postupujte vždy shora dolů. Provedete li zpětně změnu, překontrolujte zda jsou následující položky správně. </t>
  </si>
  <si>
    <t>Vyplněnou objednávku zašlete na adresu objednavky@demos-trade.com</t>
  </si>
  <si>
    <t>Vyplnenú objednávku zašlite na adresu objednavkySK@demos-trade.com</t>
  </si>
  <si>
    <t>Kód a název krytky</t>
  </si>
  <si>
    <t>&lt; Powrót</t>
  </si>
  <si>
    <t>&lt; Vissza</t>
  </si>
  <si>
    <t>Dále &gt;</t>
  </si>
  <si>
    <t>Kolejne &gt;</t>
  </si>
  <si>
    <t>Vyplňte jedno z polí:</t>
  </si>
  <si>
    <t>BLUM ZA7.0709 – zewnętrzna zaślepka Legrabox do nadruku, miedź szczotkowana KU-G</t>
  </si>
  <si>
    <t>BLUM ZA7.0700 – zewnętrzna zaślepka Legrabox do nadruku, czerń karbonowa CS-M</t>
  </si>
  <si>
    <t>BLUM ABD.1000 – zewnętrzna zaślepka Merivobox / Aventos top do nadruku, ciemnosz</t>
  </si>
  <si>
    <t>Dostupnost krytek</t>
  </si>
  <si>
    <t>Kovové krytky odmaštění, očištění</t>
  </si>
  <si>
    <t>odmaštění, číštění</t>
  </si>
  <si>
    <t>Množství (min. 50 ks)</t>
  </si>
  <si>
    <t>Množství</t>
  </si>
  <si>
    <t>92596T</t>
  </si>
  <si>
    <t>StrongHinges S5 krytka misky tlmených závesov</t>
  </si>
  <si>
    <t>StrongHinges S5 zaślepka puszki zawiasów z tłumieniem</t>
  </si>
  <si>
    <t>StrongHinges S5 takarósapka pánttálra csillapított pántokhoz</t>
  </si>
  <si>
    <t>StrongHinges S5 cover cap of the soft closing hinge cup</t>
  </si>
  <si>
    <t>HETTICH 10067 Selekta PRO 2000 krytka sivá</t>
  </si>
  <si>
    <t>HETTICH 10067 Selekta pro 2000 takarósapka szürke</t>
  </si>
  <si>
    <t>HETTICH 10067 Selekta PRO 2000 cover cap grey</t>
  </si>
  <si>
    <t>HETTICH 9088251 Sensys krytka misky</t>
  </si>
  <si>
    <t>HETTICH 9088251 SENSYS zaślepka puszki</t>
  </si>
  <si>
    <t>HETTICH 9088251 Sensys pánttál takaró</t>
  </si>
  <si>
    <t>HETTICH 9088251 Sensys cover cap of cup</t>
  </si>
  <si>
    <t>HETTICH 9091822 Krytka na misku obsidián</t>
  </si>
  <si>
    <t>HETTICH 9091822 zaślepka na puszkę obsydian</t>
  </si>
  <si>
    <t>HETTICH 9091822 takarósapka pánttálra obszidián</t>
  </si>
  <si>
    <t>HETTICH 9091822 Obsidian bowl cover</t>
  </si>
  <si>
    <t xml:space="preserve"> ks</t>
  </si>
  <si>
    <t>Poplatek za nedodržení balení</t>
  </si>
  <si>
    <t>518906 HETTICH 9308181 krytka pro ramínko závěsu (kromě 165°) bez loga obsidián</t>
  </si>
  <si>
    <t>Upravte množství na celé balení</t>
  </si>
  <si>
    <t>HETTICH 10067 Selekta Pro 2000 krytka ramínka šedá</t>
  </si>
  <si>
    <t>HETTICH 10067 SELEKTA PRO 2000 zaślepka szara</t>
  </si>
  <si>
    <t>HETTICH 9088251 Sensys krytka pro misku TH</t>
  </si>
  <si>
    <t>StrongHinges S5 krytka misky</t>
  </si>
  <si>
    <t>HETTICH 9091822 Sensys krytka pro misku TH OBS</t>
  </si>
  <si>
    <t>nesymetrická=2</t>
  </si>
  <si>
    <t>Počet:</t>
  </si>
  <si>
    <t>363033 StrongBox krytka pro tisk bílá - kus</t>
  </si>
  <si>
    <t>363035 StrongBox Krytka pro tisk šedá - kus</t>
  </si>
  <si>
    <t>363034 StrongMax 16/18 krytka pro tisk plast, bílá</t>
  </si>
  <si>
    <t>363036 StrongMax 16/18 krytka pro tisk plast, šedá</t>
  </si>
  <si>
    <t>400403 StrongMax 16/18 krytka pro tisk plast, černá</t>
  </si>
  <si>
    <t>350866 StrongHinges S3 krytka ramínka naloženého závěsu</t>
  </si>
  <si>
    <t>350867 StrongHinges S3 krytka ramínka polonaloženého a vloženého závěsu</t>
  </si>
  <si>
    <t>92597T StrongHinges S5 krytka ramínka tlumených závěsů</t>
  </si>
  <si>
    <t>92596T StrongHinges S5 krytka misky</t>
  </si>
  <si>
    <t>372347 BLUM ZA7.0700 vnější krytka Legrabox na potisk bílá SW-M</t>
  </si>
  <si>
    <t>342261 BLUM ZA7.0700 vnější krytka Legrabox na potisk šedá OG-M</t>
  </si>
  <si>
    <t>386188 BLUM ZA7.0709 vnější krytka Legrabox na potisk nerez broušená IN-G</t>
  </si>
  <si>
    <t>499740 BLUM ZA7.0709 vnější krytka Legrabox na potisk měď broušená KU-G</t>
  </si>
  <si>
    <t>507277 BLUM ZA7.0700 vnější krytka Legrabox na potisk karbon černá CS-M</t>
  </si>
  <si>
    <t>486181 BLUM ABD.1009 vnější krytka Merivobox / Aventos top pro potisk, broušená nerez</t>
  </si>
  <si>
    <t>487887 BLUM ABD.1000 vnější krytka Merivobox / Aventos top pro potisk, bílá, SW-M</t>
  </si>
  <si>
    <t>487888 BLUM ABD.1000 vnější krytka Merivobox / Aventos top pro potisk, šedá, IG-M</t>
  </si>
  <si>
    <t>487889 BLUM ABD.1000 vnější krytka Merivobox / Aventos top pro potisk, tmavě šedá, OG-M</t>
  </si>
  <si>
    <t>IN800B BLUM ZAA.532C krytka Antaro bez loga plast bílá</t>
  </si>
  <si>
    <t>236213 BLUM ZAA.532C krytka Antaro bez loga plast šedá</t>
  </si>
  <si>
    <t>12093 BLUM 70.1503 krytka ramínka pro naložený závěs, bez loga</t>
  </si>
  <si>
    <t>12011 BLUM 70.1663 krytka ramínka pro polonaložený a vložený závěs, bez loga</t>
  </si>
  <si>
    <t>12094 BLUM 70.1553 krytka ramínka</t>
  </si>
  <si>
    <t>12271 BLUM 90M2503 krytka ramínka</t>
  </si>
  <si>
    <t>306321 BLUM 70.1503 krytka ramínka bez loga Onyx</t>
  </si>
  <si>
    <t>306326 BLUM 70.1553 krytka ramínka bez loga Onyx</t>
  </si>
  <si>
    <t>347984 BLUM 70.4503 krytka ramínka Cristallo, tenký materiál, 125°/155° new, bez loga</t>
  </si>
  <si>
    <t>459760 HETTICH 9270186 AvanTech You klip pro logo, bílá</t>
  </si>
  <si>
    <t>468849 HETTICH 9270185 AvanTech You klip pro logo, stříbrná</t>
  </si>
  <si>
    <t>468850 HETTICH 9270187 AvanTech You klip pro logo, antracit</t>
  </si>
  <si>
    <t>294837 HETTICH 9194643 Atira krytka šedá</t>
  </si>
  <si>
    <t>294838 HETTICH 9194644 Atira krytka bílá</t>
  </si>
  <si>
    <t>294839 HETTICH 9194645 Atira krytka tmavošedá</t>
  </si>
  <si>
    <t>103739 HETTICH 10067 Selekta Pro 2000 krytka ramínka šedá</t>
  </si>
  <si>
    <t>350600 HETTICH 9082612 krytka pro ramínko závěsu (kromě 165°) bez loga nikl</t>
  </si>
  <si>
    <t>468861 HETTICH 9289611 Veosys krytka ramínka bez loga nerez</t>
  </si>
  <si>
    <t>105363 HETTICH 9101552 Intermat krytka ramínka</t>
  </si>
  <si>
    <t>105408 HETTICH 9088251 Sensys krytka pro misku TH</t>
  </si>
  <si>
    <t>344734 HETTICH 9091822 Sensys krytka pro misku TH OBS</t>
  </si>
  <si>
    <t>Překlad pro tiskárnu</t>
  </si>
  <si>
    <t>Blum_Z</t>
  </si>
  <si>
    <t>Prodej cena</t>
  </si>
  <si>
    <t>Blum+Hettich</t>
  </si>
  <si>
    <t>Nápočet</t>
  </si>
  <si>
    <t>Objednávka číslo</t>
  </si>
  <si>
    <t>zásuvku</t>
  </si>
  <si>
    <t>ano, stejná zakázka již dříve proběhla</t>
  </si>
  <si>
    <t>ne, jde o novou zakázku</t>
  </si>
  <si>
    <t>Prosím pozor - objednávaná krytka není symetrická, je potřeba přiložit nákres</t>
  </si>
  <si>
    <t>Cena při počtu 1000 ks</t>
  </si>
  <si>
    <t>Cena při počtu 200 ks</t>
  </si>
  <si>
    <t>Cena se odvíjí od množství objednaných ks</t>
  </si>
  <si>
    <t>K objednávce nutno přiložit grafický podklad loga ve vektorech a barvy podle pantone vzorníku</t>
  </si>
  <si>
    <t>Konfigurátor krytiek</t>
  </si>
  <si>
    <t>Množstvo (min. 50ks)</t>
  </si>
  <si>
    <t>Počet farieb loga (1-4)</t>
  </si>
  <si>
    <t>Cena za tlač</t>
  </si>
  <si>
    <t>Opakovaná tlač?</t>
  </si>
  <si>
    <t>áno, rovnaká zakázka ako už v minulosti prebehla</t>
  </si>
  <si>
    <t>nie, ide o novú zakázku</t>
  </si>
  <si>
    <t>Poplatok za opakovanú tlač</t>
  </si>
  <si>
    <t>Poplatok za prípravu</t>
  </si>
  <si>
    <t>Príprava grafiky</t>
  </si>
  <si>
    <t>záves</t>
  </si>
  <si>
    <t xml:space="preserve">Krytka na </t>
  </si>
  <si>
    <t>Základná cena za 1 krytku</t>
  </si>
  <si>
    <t>Zľava na krytky v %</t>
  </si>
  <si>
    <t>Cena krytky po zľave</t>
  </si>
  <si>
    <t>Celková cena krytiek s potlačou</t>
  </si>
  <si>
    <t>Cena za 1 krytku s potlačou</t>
  </si>
  <si>
    <t>Vždy používajte aktuálnu verziu formulára, ktorý je dostupný na našich stránkach.</t>
  </si>
  <si>
    <t>Vyplňte, prosím, Vaše kontaktné údaje a potom kliknite na požadované políčko nižšie.</t>
  </si>
  <si>
    <t>Pri vyplňovaní formulára postupujte vždy zhora dole. Ak vykonáte spätne zmenu, prekontrolujte, či sú následujúce položky správne.</t>
  </si>
  <si>
    <t>Kód a názov krytky</t>
  </si>
  <si>
    <t>Ďalej  &gt;</t>
  </si>
  <si>
    <t>K objednávke je nutné priložiť grafiký podklad loga vo vektoroch a farbe podľa pantone vzorkovníku</t>
  </si>
  <si>
    <t>Dostupnosť krytiek</t>
  </si>
  <si>
    <t>Prosím pozor - objednávaná krytka nie je symetrická, je potrebné doložiť nákres</t>
  </si>
  <si>
    <t>Upravte množstvo na celé balenie</t>
  </si>
  <si>
    <t>Cena sa odvíja od množstva objednaných ks</t>
  </si>
  <si>
    <t>Cena pri počte 200 ks</t>
  </si>
  <si>
    <t>Cena pri počte 1000 ks</t>
  </si>
  <si>
    <t>A takarósapka anyaga</t>
  </si>
  <si>
    <t>Műanyag</t>
  </si>
  <si>
    <t>Fém</t>
  </si>
  <si>
    <t>Mennyiség (min. 50 db)</t>
  </si>
  <si>
    <t>A logó színeinek száma (1-4)</t>
  </si>
  <si>
    <t>Nyomtatási díj</t>
  </si>
  <si>
    <t>Ismételt nyomtatás?</t>
  </si>
  <si>
    <t>igen, ugyanez a rendelés már korábban is megvalósult</t>
  </si>
  <si>
    <t>nem, ez egy új rendelés</t>
  </si>
  <si>
    <t>Ismételt nyomtatás díja</t>
  </si>
  <si>
    <t>Előkészítési díj</t>
  </si>
  <si>
    <t>Grafikai előkészítés</t>
  </si>
  <si>
    <t>pánt</t>
  </si>
  <si>
    <t>fiók</t>
  </si>
  <si>
    <t>A takarósapka márkája</t>
  </si>
  <si>
    <t>Mire rendeli a sapkát?</t>
  </si>
  <si>
    <t>Alapár 1 db takarósapkáért</t>
  </si>
  <si>
    <t>Kedvezmény a takarósapkákra (%)</t>
  </si>
  <si>
    <t>A takarósapka ára kedvezmény után</t>
  </si>
  <si>
    <t>Válasszon egyet a lehetőségek közül:</t>
  </si>
  <si>
    <t>A nyomtatott takarósapkák teljes ára</t>
  </si>
  <si>
    <t>Ár 1 db nyomtatott takarósapkáért</t>
  </si>
  <si>
    <t>Kezdőlap</t>
  </si>
  <si>
    <t>Mindig a honlapunkon elérhető legfrissebb űrlapot használja.</t>
  </si>
  <si>
    <t xml:space="preserve">Kérjük, töltse ki elérhetőségi adatait, majd kattintson a kívánt mezőre az alábbiakban. </t>
  </si>
  <si>
    <t>Rendelés száma</t>
  </si>
  <si>
    <t>Partner</t>
  </si>
  <si>
    <t>VAT EU:</t>
  </si>
  <si>
    <t>Kapcsolattartó telefonszám</t>
  </si>
  <si>
    <t>A feltüntetett árak nem tartalmaznak áfát!</t>
  </si>
  <si>
    <t xml:space="preserve">A űrlapot mindig felülről lefelé haladva kell kitölteni. Ha visszalépve módosítást hajt végre, ellenőrizze, hogy a következő tételek helyesek-e. </t>
  </si>
  <si>
    <t>A kitöltött megrendelést küldje el a megrendelesek@demos-trade.com címre.</t>
  </si>
  <si>
    <t>A takarósapka cikkszáma és megnevezése</t>
  </si>
  <si>
    <t>Tovább &gt;</t>
  </si>
  <si>
    <t>A megrendeléshez mellékelni kell a logó grafikai alapját vektorokban és a Pantone színskálán szereplő színekben.</t>
  </si>
  <si>
    <t>A takarósapkák rendelkezésre állása</t>
  </si>
  <si>
    <t>Figyelem - a megrendelt takarósapka nem szimmetrikus, kérjük, mellékeljen rajzot.</t>
  </si>
  <si>
    <t>db</t>
  </si>
  <si>
    <t>Módosítsa a mennyiséget teljes csomagolásra</t>
  </si>
  <si>
    <t>Az ár a megrendelt darabszámtól függ</t>
  </si>
  <si>
    <t>Ár 200 db esetén</t>
  </si>
  <si>
    <t>Ár 1000 db esetén</t>
  </si>
  <si>
    <t>&lt;  Späť</t>
  </si>
  <si>
    <t>&lt;  Zpět</t>
  </si>
  <si>
    <t xml:space="preserve">Verze </t>
  </si>
  <si>
    <t xml:space="preserve">Verzia </t>
  </si>
  <si>
    <t>EUR</t>
  </si>
  <si>
    <t>zl.</t>
  </si>
  <si>
    <t>HUF</t>
  </si>
  <si>
    <t xml:space="preserve">Konfigurator zaślepek </t>
  </si>
  <si>
    <t xml:space="preserve">Materiał zaślepek </t>
  </si>
  <si>
    <t xml:space="preserve">Plastik </t>
  </si>
  <si>
    <t>Metal</t>
  </si>
  <si>
    <t>Ilość (min. 50 szt.)</t>
  </si>
  <si>
    <t>Liczba kolorów logo (1–4)</t>
  </si>
  <si>
    <t>Cena za nadruk</t>
  </si>
  <si>
    <t>Powtórny nadruk?</t>
  </si>
  <si>
    <t>Opłata za powtórny nadruk</t>
  </si>
  <si>
    <t>Opłata za przygotowanie</t>
  </si>
  <si>
    <t>Przygotowanie grafiki</t>
  </si>
  <si>
    <t>zawias</t>
  </si>
  <si>
    <t>szuflada</t>
  </si>
  <si>
    <t>Marka zaślepki</t>
  </si>
  <si>
    <t xml:space="preserve">Zaślepka na </t>
  </si>
  <si>
    <t>Cena podstawowa za 1 zaślepkę</t>
  </si>
  <si>
    <t>Zniżka na zaślepki w %</t>
  </si>
  <si>
    <t>Cena zaślepki po zniżce</t>
  </si>
  <si>
    <t>Wypełnij jedno z pól:</t>
  </si>
  <si>
    <t xml:space="preserve">Całkowita cena zaślepek z nadrukiem </t>
  </si>
  <si>
    <t xml:space="preserve">Cena za jedna zaślepkę z nadrukiem </t>
  </si>
  <si>
    <t>Wstęp</t>
  </si>
  <si>
    <t>Zawsze używaj aktualnej wersji formularza, dostępnej na naszej stronie internetowej.</t>
  </si>
  <si>
    <t>Proszę wprowadzić swoje dane kontaktowe, a następnie kliknąć odpowiednie pole poniżej.</t>
  </si>
  <si>
    <t xml:space="preserve">Numer zamówienia </t>
  </si>
  <si>
    <t xml:space="preserve">Klient </t>
  </si>
  <si>
    <t>NIP</t>
  </si>
  <si>
    <t xml:space="preserve">Numer kontaktowy </t>
  </si>
  <si>
    <t>Podane ceny są bez VAT!</t>
  </si>
  <si>
    <t>Podczas wypełniania formularza postępuj zawsze od góry do dołu. Jeśli wprowadzisz zmianę wstecz, sprawdź, czy kolejne pozycje są poprawne.</t>
  </si>
  <si>
    <t>Do zamówienia należy dołączyć plik z logo w formacie wektorowym oraz kolory według wzornika Pantone.</t>
  </si>
  <si>
    <t>Uwaga – zamawiana zaślepka nie jest symetryczna, należy dołączyć rysunek.</t>
  </si>
  <si>
    <t>Zaokrąglij ilość do pełnego opakowania.</t>
  </si>
  <si>
    <t>Cena zależy od ilości zamówionych sztuk.</t>
  </si>
  <si>
    <t>Cena przy ilości 200 szt.</t>
  </si>
  <si>
    <t>Cena przy ilości 1000 szt.</t>
  </si>
  <si>
    <t>szt.</t>
  </si>
  <si>
    <t>Tak, to samo zamówienie było już realizowane wcześniej</t>
  </si>
  <si>
    <t>Nie, to nowe zamówienie</t>
  </si>
  <si>
    <t>Wypełnione zamówienie wyślij na adres: zamowienia@demos-trade.com</t>
  </si>
  <si>
    <t xml:space="preserve">Dostępność zaślepek </t>
  </si>
  <si>
    <t>Datum objednávky</t>
  </si>
  <si>
    <t xml:space="preserve">Wersja </t>
  </si>
  <si>
    <t xml:space="preserve">Változat </t>
  </si>
  <si>
    <t>Cover cap configurator</t>
  </si>
  <si>
    <t>Cover cap material</t>
  </si>
  <si>
    <t>Plastic</t>
  </si>
  <si>
    <t>Quantity (min. 50 pcs)</t>
  </si>
  <si>
    <t>Number of logo colours (1-4)</t>
  </si>
  <si>
    <t>Print price</t>
  </si>
  <si>
    <t>Repeated print?</t>
  </si>
  <si>
    <t>Yes, the same order has been processed before</t>
  </si>
  <si>
    <t>No, this is a new order</t>
  </si>
  <si>
    <t>Fee for repeated print</t>
  </si>
  <si>
    <t>Preparation fee (setup fee)</t>
  </si>
  <si>
    <t>Graphic design preparation fee</t>
  </si>
  <si>
    <t>a hinge</t>
  </si>
  <si>
    <t>a drawer</t>
  </si>
  <si>
    <t>Brand of a cover cap</t>
  </si>
  <si>
    <t>Cover cap for</t>
  </si>
  <si>
    <t>Basic price for 1 cover cap</t>
  </si>
  <si>
    <t>Cover cap discount in %</t>
  </si>
  <si>
    <t>Cover cap price with the discount</t>
  </si>
  <si>
    <t>Please fill in one field</t>
  </si>
  <si>
    <t>Total price of printed cover caps</t>
  </si>
  <si>
    <t>Price for 1 printed cover cap</t>
  </si>
  <si>
    <t>Introduction</t>
  </si>
  <si>
    <t>Always use the current version of the configurator form, available on our website.</t>
  </si>
  <si>
    <t>Please fill in your contact details and then click on the desired field below.</t>
  </si>
  <si>
    <t>Order number</t>
  </si>
  <si>
    <t>Customer name</t>
  </si>
  <si>
    <t>Customer ID</t>
  </si>
  <si>
    <t>Contact phone number</t>
  </si>
  <si>
    <t>Shown prices are excluding VAT!</t>
  </si>
  <si>
    <t>Please, proceed from top to bottom when filling in the form. If you make changes afterwards, check that the subsequent entries are correct.</t>
  </si>
  <si>
    <t>Cover cap article Nr. and title</t>
  </si>
  <si>
    <t>Next&gt;</t>
  </si>
  <si>
    <t>&lt;Back</t>
  </si>
  <si>
    <t>The order must include the logo graphic file in vector format and defined colours according to the Pantone colour guide.</t>
  </si>
  <si>
    <t>Availability of the cover caps</t>
  </si>
  <si>
    <t>Please note – the cover cap in the order is not symmetrical; please, attach a drawing of the cover cap.</t>
  </si>
  <si>
    <t>pcs</t>
  </si>
  <si>
    <t>Adjust the quantity to full packaging units.</t>
  </si>
  <si>
    <t>The price is based on the quantity ordered.</t>
  </si>
  <si>
    <t>Price for a quantity of 200 pcs</t>
  </si>
  <si>
    <t>Price for a quantity of 1 000 pcs</t>
  </si>
  <si>
    <t xml:space="preserve">Version </t>
  </si>
  <si>
    <t>Potvrzuji, že rozumím a přijímám výše uvedené podmínky a doporučení.</t>
  </si>
  <si>
    <t>Potvrdzujem, že som porozumel a súhlasím s uvedenými podmienkami a odporúčaniami.</t>
  </si>
  <si>
    <t>Potwierdzam, że rozumiem i akceptuję powyższe warunki i zalecenia.</t>
  </si>
  <si>
    <t>I confirm that I understand and accept above mentioned conditions and reccomendations.</t>
  </si>
  <si>
    <t>Megerősítem, hogy megértettem és elfogadom a fent említett feltételeket és ajánlásokat.</t>
  </si>
  <si>
    <t>BLUM ZA7.0700 zewnętrzna zaślepka Legrabox do nadruku szara OG-M</t>
  </si>
  <si>
    <t>BLUM ZA7.0700 zewnętrzna zaślepka Legrabox do nadruku, czerń karbonowa CS-M</t>
  </si>
  <si>
    <t>BLUM ZA7.0700 zewnętrzna osłona Legrabox do nadruku, biała SW-M</t>
  </si>
  <si>
    <t xml:space="preserve">Kod i nazwa zaślepki </t>
  </si>
  <si>
    <t>FR</t>
  </si>
  <si>
    <t>Configurateur de caches</t>
  </si>
  <si>
    <t>Matériau du cache</t>
  </si>
  <si>
    <t>Plastique</t>
  </si>
  <si>
    <t>Métal</t>
  </si>
  <si>
    <t>Quantité (min. 50 pcs)</t>
  </si>
  <si>
    <t>Nombre de couleurs du logo (1–4)</t>
  </si>
  <si>
    <t>Prix de l’impression</t>
  </si>
  <si>
    <t>Impression répétée ?</t>
  </si>
  <si>
    <t>oui, la même commande a déjà été effectuée</t>
  </si>
  <si>
    <t>non, il s’agit d’une nouvelle commande</t>
  </si>
  <si>
    <t>Frais pour impression répétée</t>
  </si>
  <si>
    <t>Frais de préparation</t>
  </si>
  <si>
    <t>Préparation du graphisme</t>
  </si>
  <si>
    <t>charnière</t>
  </si>
  <si>
    <t>tiroir</t>
  </si>
  <si>
    <t>Marque du cache</t>
  </si>
  <si>
    <t>Cache pour</t>
  </si>
  <si>
    <t>Prix de base pour 1 cache</t>
  </si>
  <si>
    <t>Remise sur les caches en %</t>
  </si>
  <si>
    <t>Prix du cache après remise</t>
  </si>
  <si>
    <t>Remplissez l’un des champs suivants :</t>
  </si>
  <si>
    <t>Prix total des caches avec impression</t>
  </si>
  <si>
    <t>Prix pour 1 cache avec impression</t>
  </si>
  <si>
    <t>Utilisez toujours la version actuelle du formulaire, disponible sur notre site web.</t>
  </si>
  <si>
    <t>Veuillez saisir vos coordonnées, puis cliquer sur le champ souhaité ci-dessous.</t>
  </si>
  <si>
    <t>Numéro de commande</t>
  </si>
  <si>
    <t>Client</t>
  </si>
  <si>
    <t>Tél. de contact</t>
  </si>
  <si>
    <r>
      <t xml:space="preserve">Les prix indiqués sont </t>
    </r>
    <r>
      <rPr>
        <b/>
        <sz val="11"/>
        <color theme="1"/>
        <rFont val="Aptos Narrow"/>
        <family val="2"/>
        <charset val="238"/>
        <scheme val="minor"/>
      </rPr>
      <t>hors TVA</t>
    </r>
    <r>
      <rPr>
        <sz val="11"/>
        <color theme="1"/>
        <rFont val="Aptos Narrow"/>
        <family val="2"/>
        <charset val="238"/>
        <scheme val="minor"/>
      </rPr>
      <t xml:space="preserve"> !</t>
    </r>
  </si>
  <si>
    <t>Lors du remplissage du formulaire, procédez toujours de haut en bas. Si vous effectuez une modification, veuillez vérifier que les champs suivants sont corrects.</t>
  </si>
  <si>
    <r>
      <t xml:space="preserve">Envoyez la commande complétée à : </t>
    </r>
    <r>
      <rPr>
        <b/>
        <sz val="11"/>
        <color theme="1"/>
        <rFont val="Aptos Narrow"/>
        <family val="2"/>
        <scheme val="minor"/>
      </rPr>
      <t>commandes@demos-trade.com</t>
    </r>
  </si>
  <si>
    <t>Code et nom du cache</t>
  </si>
  <si>
    <t>Suivant &gt;</t>
  </si>
  <si>
    <t>&lt; Retour</t>
  </si>
  <si>
    <t>Le graphisme du logo doit être fourni en format vectoriel et les couleurs selon le nuancier Pantone.</t>
  </si>
  <si>
    <t>Disponibilité des caches</t>
  </si>
  <si>
    <t>Attention – si le cache commandé n’est pas symétrique, il est nécessaire de joindre un dessin technique.</t>
  </si>
  <si>
    <t>Ajustez la quantité à un emballage complet.</t>
  </si>
  <si>
    <t>Le prix dépend de la quantité commandée (en pcs)</t>
  </si>
  <si>
    <t>Prix pour 200 pcs</t>
  </si>
  <si>
    <t>Prix pour 1000 pcs</t>
  </si>
  <si>
    <t>francouzsky</t>
  </si>
  <si>
    <t>Je confirme avoir compris et accepté les conditions et recommandations mentionnées ci-dessus.</t>
  </si>
  <si>
    <t>N° d’identification (TVA)</t>
  </si>
  <si>
    <t>Takaró konfigurátor</t>
  </si>
  <si>
    <t>Send the filled out form to export@demos-trade.com</t>
  </si>
  <si>
    <t>A szokványos nyomtatási időszak 10 munkanap</t>
  </si>
  <si>
    <t xml:space="preserve">Výše uvedená cena je finální, nelze uplatnit jakékoliv slevy. </t>
  </si>
  <si>
    <t xml:space="preserve">Vyššie uvedená cena je finálna, nie je možné uplatniť akékoľvek zľavy. </t>
  </si>
  <si>
    <t xml:space="preserve">Powyższa cena jest ostateczna, nie można zastosować żadnych rabatów. </t>
  </si>
  <si>
    <t xml:space="preserve">A feltüntetett ár végleges, nem alkalmazható árengedmény. </t>
  </si>
  <si>
    <t xml:space="preserve">The price shown above is final; no discounts can be applied. </t>
  </si>
  <si>
    <t xml:space="preserve">Le prix indiqué est final — aucune remise supplémentaire ne peut être appliquée. </t>
  </si>
  <si>
    <t>Inscrivez les couleurs selon l'échantillon Pantone</t>
  </si>
  <si>
    <t>Írd le a színeket a Pantone színskálán</t>
  </si>
  <si>
    <t>Wypełnij kolory według wzornika Pantone</t>
  </si>
  <si>
    <t>Napište farby podľa pantone vzorkovníku</t>
  </si>
  <si>
    <t>Napište barvy podle pantone vzorníku</t>
  </si>
  <si>
    <t>je vyplněná barva?</t>
  </si>
  <si>
    <t>Běžný termín pro potisk je 10 pracovních dnů.</t>
  </si>
  <si>
    <t>Štandardná doba tlače je 10 pracovných dní.</t>
  </si>
  <si>
    <t>Standardowy czas realizacji nadruku to 10 dni roboczych.</t>
  </si>
  <si>
    <t>Le délai habituel d'impression est de 10 jours ouvrables.</t>
  </si>
  <si>
    <t>The usual leadtime for printing is 10 working days.</t>
  </si>
  <si>
    <t>Fill in Pantone colours</t>
  </si>
  <si>
    <t>záloha vzorec opakovaný tisk:</t>
  </si>
  <si>
    <t>záloha vzorec zpravání grafiky</t>
  </si>
  <si>
    <t>BLUM ABD.1000 Merivobox/Aventos top, vnější krytka pro potisk, bílá</t>
  </si>
  <si>
    <t>BLUM ABD.1000 Merivobox/Aventos top, vonkajšia krytka na potlač, biela</t>
  </si>
  <si>
    <t>BLUM ABD.1000 Merivobox/Aventos top, zaślepka zewnętrzna do nadruku, biała</t>
  </si>
  <si>
    <t>Blum Abd.1000 Merivobox/Aventos Top, Outer Cover Cap For Printing, White</t>
  </si>
  <si>
    <t>487887 BLUM ABD.1000 Merivobox/Aventos top, vnější krytka pro potisk, bílá</t>
  </si>
  <si>
    <t>BLUM ABD.1000 Merivobox/Aventos top, vnější krytka pro potisk, světle šedá IG</t>
  </si>
  <si>
    <t>BLUM ABD.1000 Merivobox/Aventos top, vonkajšia krytka na potlač, svetlo šedá IG</t>
  </si>
  <si>
    <t>BLUM ABD.1000 Merivobox/Aventos top, zaślepka zewn. do nadruku, jasnoszara IG</t>
  </si>
  <si>
    <t>Blum Abd.1000 Merivobox/Aventos Top, Outer Cover Cap For Printing, Light Grey Ig</t>
  </si>
  <si>
    <t>487888 BLUM ABD.1000 Merivobox/Aventos top, vnější krytka pro potisk, světle šedá IG</t>
  </si>
  <si>
    <t>BLUM ABD.1000 Merivobox/Aventos top, vnější krytka pro potisk, tmavě šedá OG</t>
  </si>
  <si>
    <t>BLUM ABD.1000 Merivobox/Aventos top, vonkajšia krytka na potlač, tmavo šedá OG</t>
  </si>
  <si>
    <t>BLUM ABD.1000 Merivobox/Aventos top, zaślepka zew do nadruku, ciemnoszara OG</t>
  </si>
  <si>
    <t>Blum Abd.1000 Merivobox/Aventos Top, Outer Cover Cap For Printing, Dark Grey Og</t>
  </si>
  <si>
    <t>487889 BLUM ABD.1000 Merivobox/Aventos top, vnější krytka pro potisk, tmavě šedá OG</t>
  </si>
  <si>
    <t>Vybranou krytku nemáme skladem, proto se prodlouží termín dodání o 5-15 pracovních dnů.</t>
  </si>
  <si>
    <t>Vybranú krytku nemáme na sklade, preto sa predĺži termín dodania o 5-15 pracovných dní.</t>
  </si>
  <si>
    <t>Wybranej zaślepki nie mamy na magazynie, dlatego termin dostawy wydłuży się o 5–15 dni roboczych.</t>
  </si>
  <si>
    <t>A kiválasztott takaróelem nincs raktáron, ezért a szállítási határidő 5–15 munkanappal meghosszabbodik.</t>
  </si>
  <si>
    <t>We do not keep the selected cover cap in stock, therefore the delivery time will be extended by 5-15 working days.</t>
  </si>
  <si>
    <t>Nous ne disposons pas en stock du bouchon obturateur sélectionné ; le délai de livraison sera donc prolongé de 5 à 15 jours ouvrables.</t>
  </si>
  <si>
    <t>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</si>
</sst>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3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36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0"/>
      <name val="Calibri"/>
      <family val="2"/>
      <charset val="238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EE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rgb="FF00498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1" fillId="0" borderId="0"/>
    <xf numFmtId="0" fontId="31" fillId="0" borderId="0"/>
  </cellStyleXfs>
  <cellXfs count="90">
    <xf numFmtId="0" fontId="0" fillId="0" borderId="0" xfId="0"/>
    <xf numFmtId="0" fontId="3" fillId="2" borderId="0" xfId="3" applyFill="1"/>
    <xf numFmtId="0" fontId="5" fillId="0" borderId="0" xfId="0" applyFont="1"/>
    <xf numFmtId="0" fontId="0" fillId="0" borderId="0" xfId="0" applyAlignment="1">
      <alignment wrapText="1"/>
    </xf>
    <xf numFmtId="43" fontId="0" fillId="0" borderId="0" xfId="1" applyFont="1"/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3" fillId="4" borderId="0" xfId="3" applyFill="1" applyProtection="1">
      <protection hidden="1"/>
    </xf>
    <xf numFmtId="0" fontId="0" fillId="0" borderId="0" xfId="0" applyProtection="1">
      <protection hidden="1"/>
    </xf>
    <xf numFmtId="0" fontId="3" fillId="2" borderId="0" xfId="3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locked="0" hidden="1"/>
    </xf>
    <xf numFmtId="0" fontId="10" fillId="0" borderId="0" xfId="0" applyFont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4" fillId="0" borderId="0" xfId="0" applyFont="1" applyProtection="1">
      <protection hidden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44" fontId="0" fillId="0" borderId="0" xfId="6" applyFont="1"/>
    <xf numFmtId="44" fontId="0" fillId="0" borderId="0" xfId="0" applyNumberFormat="1"/>
    <xf numFmtId="0" fontId="8" fillId="3" borderId="0" xfId="0" applyFont="1" applyFill="1" applyProtection="1">
      <protection locked="0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0" xfId="0" applyNumberFormat="1"/>
    <xf numFmtId="0" fontId="3" fillId="0" borderId="0" xfId="3"/>
    <xf numFmtId="0" fontId="16" fillId="0" borderId="0" xfId="0" applyFont="1"/>
    <xf numFmtId="164" fontId="24" fillId="0" borderId="2" xfId="1" applyNumberFormat="1" applyFont="1" applyBorder="1" applyAlignment="1" applyProtection="1">
      <alignment vertical="center" shrinkToFit="1"/>
      <protection hidden="1"/>
    </xf>
    <xf numFmtId="0" fontId="22" fillId="0" borderId="1" xfId="0" applyFont="1" applyBorder="1" applyProtection="1">
      <protection hidden="1"/>
    </xf>
    <xf numFmtId="164" fontId="22" fillId="0" borderId="8" xfId="1" applyNumberFormat="1" applyFont="1" applyBorder="1" applyAlignment="1" applyProtection="1">
      <alignment vertical="center" shrinkToFit="1"/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2" fontId="18" fillId="0" borderId="2" xfId="0" applyNumberFormat="1" applyFont="1" applyBorder="1" applyAlignment="1" applyProtection="1">
      <alignment horizontal="right" vertical="center"/>
      <protection hidden="1"/>
    </xf>
    <xf numFmtId="2" fontId="23" fillId="0" borderId="8" xfId="0" applyNumberFormat="1" applyFont="1" applyBorder="1" applyAlignment="1" applyProtection="1">
      <alignment horizontal="left" vertical="center"/>
      <protection hidden="1"/>
    </xf>
    <xf numFmtId="2" fontId="27" fillId="0" borderId="0" xfId="0" applyNumberFormat="1" applyFont="1" applyAlignment="1" applyProtection="1">
      <alignment horizontal="center" vertical="center"/>
      <protection hidden="1"/>
    </xf>
    <xf numFmtId="2" fontId="27" fillId="0" borderId="0" xfId="0" applyNumberFormat="1" applyFont="1" applyAlignment="1" applyProtection="1">
      <alignment horizontal="right" vertical="center"/>
      <protection hidden="1"/>
    </xf>
    <xf numFmtId="2" fontId="27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Protection="1">
      <protection hidden="1"/>
    </xf>
    <xf numFmtId="2" fontId="0" fillId="0" borderId="0" xfId="0" applyNumberFormat="1" applyProtection="1">
      <protection hidden="1"/>
    </xf>
    <xf numFmtId="0" fontId="26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0" fillId="0" borderId="7" xfId="0" applyBorder="1" applyProtection="1">
      <protection hidden="1"/>
    </xf>
    <xf numFmtId="0" fontId="22" fillId="0" borderId="1" xfId="0" applyFont="1" applyBorder="1" applyAlignment="1" applyProtection="1">
      <alignment vertical="center"/>
      <protection hidden="1"/>
    </xf>
    <xf numFmtId="0" fontId="22" fillId="0" borderId="8" xfId="0" applyFont="1" applyBorder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2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20" fillId="0" borderId="0" xfId="9"/>
    <xf numFmtId="49" fontId="20" fillId="0" borderId="0" xfId="9" applyNumberForma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29" fillId="0" borderId="2" xfId="0" applyFont="1" applyBorder="1" applyAlignment="1" applyProtection="1">
      <alignment vertical="center"/>
      <protection locked="0" hidden="1"/>
    </xf>
    <xf numFmtId="49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4" fillId="0" borderId="9" xfId="0" applyFont="1" applyBorder="1" applyAlignment="1" applyProtection="1">
      <alignment horizontal="left" vertical="center"/>
      <protection hidden="1"/>
    </xf>
    <xf numFmtId="49" fontId="31" fillId="0" borderId="0" xfId="11" applyNumberFormat="1"/>
    <xf numFmtId="0" fontId="17" fillId="2" borderId="3" xfId="2" applyFont="1" applyFill="1" applyBorder="1" applyAlignment="1" applyProtection="1">
      <alignment horizontal="center" vertical="center"/>
      <protection hidden="1"/>
    </xf>
    <xf numFmtId="0" fontId="17" fillId="2" borderId="0" xfId="2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locked="0" hidden="1"/>
    </xf>
    <xf numFmtId="0" fontId="22" fillId="0" borderId="1" xfId="0" applyFont="1" applyBorder="1" applyAlignment="1" applyProtection="1">
      <alignment horizontal="center" vertical="center" wrapText="1"/>
      <protection locked="0" hidden="1"/>
    </xf>
    <xf numFmtId="0" fontId="24" fillId="0" borderId="0" xfId="0" applyFont="1" applyAlignment="1" applyProtection="1">
      <alignment horizontal="center" vertical="center" wrapText="1"/>
      <protection hidden="1"/>
    </xf>
    <xf numFmtId="1" fontId="22" fillId="0" borderId="1" xfId="0" applyNumberFormat="1" applyFont="1" applyBorder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22" fillId="0" borderId="1" xfId="0" applyFont="1" applyBorder="1" applyAlignment="1" applyProtection="1">
      <alignment horizontal="center"/>
      <protection locked="0" hidden="1"/>
    </xf>
    <xf numFmtId="0" fontId="4" fillId="0" borderId="0" xfId="0" applyFont="1" applyAlignment="1">
      <alignment horizontal="center"/>
    </xf>
    <xf numFmtId="0" fontId="13" fillId="0" borderId="0" xfId="0" applyFont="1" applyAlignment="1" applyProtection="1">
      <alignment horizontal="left" wrapText="1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30" fillId="2" borderId="3" xfId="4" applyFont="1" applyFill="1" applyBorder="1" applyAlignment="1" applyProtection="1">
      <alignment horizontal="center" vertical="center"/>
      <protection hidden="1"/>
    </xf>
    <xf numFmtId="0" fontId="30" fillId="2" borderId="0" xfId="4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left" wrapText="1"/>
      <protection hidden="1"/>
    </xf>
    <xf numFmtId="0" fontId="6" fillId="2" borderId="4" xfId="0" applyFont="1" applyFill="1" applyBorder="1" applyAlignment="1" applyProtection="1">
      <alignment horizontal="left" indent="1"/>
      <protection hidden="1"/>
    </xf>
    <xf numFmtId="0" fontId="8" fillId="6" borderId="0" xfId="0" applyFont="1" applyFill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7" fillId="0" borderId="0" xfId="2" applyFont="1" applyFill="1" applyBorder="1" applyAlignment="1" applyProtection="1">
      <alignment horizontal="center" vertical="center"/>
      <protection locked="0" hidden="1"/>
    </xf>
  </cellXfs>
  <cellStyles count="12">
    <cellStyle name="Čárka" xfId="1" builtinId="3"/>
    <cellStyle name="Čárka 2" xfId="7" xr:uid="{22222DEA-11E8-4D95-BA80-228C6D5CEB77}"/>
    <cellStyle name="Hypertextový odkaz" xfId="2" builtinId="8"/>
    <cellStyle name="Hypertextový odkaz 2" xfId="4" xr:uid="{4961E561-34F9-417F-9B17-BE36AF771AF2}"/>
    <cellStyle name="Měna" xfId="6" builtinId="4"/>
    <cellStyle name="Měna 2" xfId="8" xr:uid="{18495645-D59F-491B-8ADD-5AED6807D482}"/>
    <cellStyle name="Normální" xfId="0" builtinId="0"/>
    <cellStyle name="Normální 13" xfId="3" xr:uid="{035AD35D-55FD-431F-B16A-720991C30CD2}"/>
    <cellStyle name="Normální 2" xfId="9" xr:uid="{EC2DF053-0B05-4B0B-B89C-5B8C6E0150BE}"/>
    <cellStyle name="Normální 2 2" xfId="10" xr:uid="{D35D3F89-BAFE-465C-9965-1BEE5B62EF8B}"/>
    <cellStyle name="Normální 2 3" xfId="11" xr:uid="{C4275D4E-B15D-44CC-8F40-627825CAC9B2}"/>
    <cellStyle name="Procenta 2" xfId="5" xr:uid="{829EDB4D-9710-47E1-98D0-E12ACFC77EBA}"/>
  </cellStyles>
  <dxfs count="13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</border>
    </dxf>
    <dxf>
      <font>
        <color theme="1"/>
      </font>
    </dxf>
    <dxf>
      <font>
        <color theme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#REF!"/>
</file>

<file path=xl/ctrlProps/ctrlProp2.xml><?xml version="1.0" encoding="utf-8"?>
<formControlPr xmlns="http://schemas.microsoft.com/office/spreadsheetml/2009/9/main" objectType="CheckBox" fmlaLink="$W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8765150-0268-4BBA-A81F-9289AFD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6</xdr:row>
      <xdr:rowOff>7620</xdr:rowOff>
    </xdr:from>
    <xdr:to>
      <xdr:col>11</xdr:col>
      <xdr:colOff>754380</xdr:colOff>
      <xdr:row>25</xdr:row>
      <xdr:rowOff>167640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ED00A01-66D8-7180-8822-7AD92D57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" y="1409700"/>
          <a:ext cx="6675120" cy="400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7169" name="Check Box 1967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228597</xdr:colOff>
      <xdr:row>0</xdr:row>
      <xdr:rowOff>0</xdr:rowOff>
    </xdr:from>
    <xdr:to>
      <xdr:col>2</xdr:col>
      <xdr:colOff>228597</xdr:colOff>
      <xdr:row>5</xdr:row>
      <xdr:rowOff>77970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8942D0A-BBD3-47A4-97F2-CE9BFEA2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697" y="0"/>
          <a:ext cx="0" cy="10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207990</xdr:colOff>
      <xdr:row>18</xdr:row>
      <xdr:rowOff>291849</xdr:rowOff>
    </xdr:from>
    <xdr:to>
      <xdr:col>2</xdr:col>
      <xdr:colOff>579119</xdr:colOff>
      <xdr:row>19</xdr:row>
      <xdr:rowOff>60288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0E8C2F7-C8A9-4707-9E92-41F56830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190" y="3027429"/>
          <a:ext cx="371129" cy="347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182880</xdr:colOff>
      <xdr:row>6</xdr:row>
      <xdr:rowOff>99060</xdr:rowOff>
    </xdr:from>
    <xdr:to>
      <xdr:col>2</xdr:col>
      <xdr:colOff>506880</xdr:colOff>
      <xdr:row>8</xdr:row>
      <xdr:rowOff>57300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31D251D-B9B2-4504-971C-B59EDD0B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1196340"/>
          <a:ext cx="324000" cy="3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594360</xdr:colOff>
      <xdr:row>1</xdr:row>
      <xdr:rowOff>0</xdr:rowOff>
    </xdr:from>
    <xdr:to>
      <xdr:col>5</xdr:col>
      <xdr:colOff>152400</xdr:colOff>
      <xdr:row>3</xdr:row>
      <xdr:rowOff>55245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E6C3DD4-AD58-4FF1-B94D-A1AE4A1D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" y="190500"/>
          <a:ext cx="1777365" cy="43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31</xdr:row>
          <xdr:rowOff>0</xdr:rowOff>
        </xdr:from>
        <xdr:to>
          <xdr:col>9</xdr:col>
          <xdr:colOff>476250</xdr:colOff>
          <xdr:row>32</xdr:row>
          <xdr:rowOff>171450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1</xdr:col>
      <xdr:colOff>1786414</xdr:colOff>
      <xdr:row>2</xdr:row>
      <xdr:rowOff>111442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F3F5282-C7FD-4B1F-953A-F711145A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615110</xdr:colOff>
      <xdr:row>3</xdr:row>
      <xdr:rowOff>114300</xdr:rowOff>
    </xdr:from>
    <xdr:to>
      <xdr:col>12</xdr:col>
      <xdr:colOff>1177290</xdr:colOff>
      <xdr:row>13</xdr:row>
      <xdr:rowOff>231458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66D299-3CA8-46FA-830E-5D419FD73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0030" y="937260"/>
          <a:ext cx="3783535" cy="28279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2</xdr:col>
      <xdr:colOff>209074</xdr:colOff>
      <xdr:row>3</xdr:row>
      <xdr:rowOff>119062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117D7EF-116A-4E15-87BD-F6596F1B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180975"/>
          <a:ext cx="1786414" cy="48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91FD-B7FB-4733-9C6D-F74787F8FF57}">
  <sheetPr codeName="List1"/>
  <dimension ref="A1:N29"/>
  <sheetViews>
    <sheetView showGridLines="0" showRowColHeaders="0" tabSelected="1" zoomScaleNormal="100" workbookViewId="0"/>
  </sheetViews>
  <sheetFormatPr defaultColWidth="0" defaultRowHeight="15" customHeight="1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9.140625" customWidth="1"/>
    <col min="14" max="14" width="9.140625" hidden="1" customWidth="1"/>
    <col min="15" max="16384" width="9.140625" hidden="1"/>
  </cols>
  <sheetData>
    <row r="1" spans="1:13" ht="15.75" customHeight="1" x14ac:dyDescent="0.25"/>
    <row r="2" spans="1:13" ht="2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65" t="str">
        <f>překlady!B39</f>
        <v>Dále &gt;</v>
      </c>
      <c r="M2" s="65"/>
    </row>
    <row r="3" spans="1:13" x14ac:dyDescent="0.25"/>
    <row r="4" spans="1:13" hidden="1" x14ac:dyDescent="0.25"/>
    <row r="5" spans="1:13" x14ac:dyDescent="0.25"/>
    <row r="6" spans="1:13" ht="40.9" customHeight="1" x14ac:dyDescent="0.7">
      <c r="B6" s="74" t="str">
        <f>překlady!B5</f>
        <v>Konfigurátor krytek</v>
      </c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3" x14ac:dyDescent="0.25"/>
    <row r="8" spans="1:13" x14ac:dyDescent="0.25"/>
    <row r="9" spans="1:13" x14ac:dyDescent="0.25"/>
    <row r="10" spans="1:13" x14ac:dyDescent="0.25"/>
    <row r="11" spans="1:13" ht="43.15" customHeight="1" x14ac:dyDescent="0.25"/>
    <row r="12" spans="1:13" x14ac:dyDescent="0.25"/>
    <row r="13" spans="1:13" x14ac:dyDescent="0.25"/>
    <row r="14" spans="1:13" x14ac:dyDescent="0.25">
      <c r="B14" s="3"/>
      <c r="C14" s="3"/>
      <c r="D14" s="3"/>
      <c r="E14" s="3"/>
      <c r="F14" s="3"/>
      <c r="G14" s="3"/>
      <c r="H14" s="3"/>
    </row>
    <row r="15" spans="1:13" x14ac:dyDescent="0.25">
      <c r="B15" s="3"/>
      <c r="C15" s="3"/>
      <c r="D15" s="3"/>
      <c r="E15" s="3"/>
      <c r="F15" s="3"/>
      <c r="G15" s="3"/>
      <c r="H15" s="3"/>
    </row>
    <row r="16" spans="1:13" x14ac:dyDescent="0.25"/>
    <row r="17" spans="1:14" x14ac:dyDescent="0.25"/>
    <row r="18" spans="1:14" x14ac:dyDescent="0.25"/>
    <row r="19" spans="1:14" x14ac:dyDescent="0.25"/>
    <row r="20" spans="1:14" x14ac:dyDescent="0.25"/>
    <row r="21" spans="1:14" x14ac:dyDescent="0.25"/>
    <row r="22" spans="1:14" x14ac:dyDescent="0.25"/>
    <row r="23" spans="1:14" x14ac:dyDescent="0.25"/>
    <row r="24" spans="1:14" x14ac:dyDescent="0.25"/>
    <row r="25" spans="1:14" x14ac:dyDescent="0.25"/>
    <row r="26" spans="1:14" x14ac:dyDescent="0.25"/>
    <row r="27" spans="1:14" x14ac:dyDescent="0.25"/>
    <row r="28" spans="1:14" x14ac:dyDescent="0.25">
      <c r="A28" t="str">
        <f>překlady!B4&amp;překlady!B1</f>
        <v>Verze 1.05</v>
      </c>
    </row>
    <row r="29" spans="1:14" hidden="1" x14ac:dyDescent="0.25">
      <c r="N29" s="25">
        <v>1</v>
      </c>
    </row>
  </sheetData>
  <sheetProtection algorithmName="SHA-512" hashValue="GTArUio+y818dbFFoT2rTFmIpOZCTdZUBSwMfBG6OY1VZjeldTFev15ohA+FynR2CAvE2NAmr44iAEMsKCbFng==" saltValue="zP39pSRMzoa/L78Lu5r1YQ==" spinCount="100000" sheet="1"/>
  <mergeCells count="2">
    <mergeCell ref="L2:M2"/>
    <mergeCell ref="B6:L6"/>
  </mergeCells>
  <dataValidations count="1">
    <dataValidation type="list" allowBlank="1" showInputMessage="1" showErrorMessage="1" sqref="N29" xr:uid="{2231F483-F8CC-455A-B5A2-724BE46716D6}">
      <formula1>"1,2,3,4,5,6"</formula1>
    </dataValidation>
  </dataValidations>
  <hyperlinks>
    <hyperlink ref="L2:M2" location="Zakaznik!A1" display="Zakaznik!A1" xr:uid="{7C29786A-C4D9-463C-8ECA-8F66D64377A3}"/>
  </hyperlink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BE5F-B4EE-4B54-A3CE-CDDE0F0D2652}">
  <sheetPr codeName="List6"/>
  <dimension ref="A1:W41"/>
  <sheetViews>
    <sheetView showGridLines="0" showRowColHeaders="0" zoomScaleNormal="100" workbookViewId="0">
      <selection activeCell="K11" sqref="K11:P11"/>
    </sheetView>
  </sheetViews>
  <sheetFormatPr defaultColWidth="0" defaultRowHeight="15" x14ac:dyDescent="0.25"/>
  <cols>
    <col min="1" max="3" width="8.85546875" style="10" customWidth="1"/>
    <col min="4" max="4" width="6.7109375" style="10" customWidth="1"/>
    <col min="5" max="16" width="8.85546875" style="10" customWidth="1"/>
    <col min="17" max="17" width="6.7109375" style="10" customWidth="1"/>
    <col min="18" max="20" width="8.85546875" style="10" customWidth="1"/>
    <col min="21" max="22" width="8.85546875" style="10" hidden="1" customWidth="1"/>
    <col min="23" max="23" width="13.7109375" style="10" hidden="1" customWidth="1"/>
    <col min="24" max="16384" width="8.85546875" style="10" hidden="1"/>
  </cols>
  <sheetData>
    <row r="1" spans="1:2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23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64" t="str">
        <f>překlady!B28</f>
        <v>Úvod</v>
      </c>
      <c r="R2" s="65"/>
      <c r="S2" s="65"/>
      <c r="T2" s="65"/>
      <c r="W2" s="13" t="b">
        <v>0</v>
      </c>
    </row>
    <row r="3" spans="1:2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64"/>
      <c r="R3" s="65"/>
      <c r="S3" s="65"/>
      <c r="T3" s="65"/>
    </row>
    <row r="4" spans="1:23" x14ac:dyDescent="0.25">
      <c r="A4" s="9"/>
      <c r="B4" s="9"/>
      <c r="C4" s="9"/>
      <c r="D4" s="9"/>
      <c r="E4" s="9"/>
      <c r="F4" s="9"/>
      <c r="G4" s="9"/>
      <c r="H4" s="9"/>
      <c r="I4" s="9"/>
    </row>
    <row r="5" spans="1:23" x14ac:dyDescent="0.25">
      <c r="A5" s="9"/>
      <c r="B5" s="9"/>
      <c r="C5" s="9"/>
      <c r="D5" s="9"/>
      <c r="E5" s="9"/>
      <c r="F5" s="9"/>
      <c r="G5" s="9"/>
      <c r="H5" s="84" t="str">
        <f>překlady!B29</f>
        <v>Vždy používejte aktuální verzi formuláře, který je dostupný na našich stánkách.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8" spans="1:23" ht="15.75" customHeight="1" x14ac:dyDescent="0.25">
      <c r="E8" s="14" t="str">
        <f>překlady!B30</f>
        <v xml:space="preserve">Vyplňte prosím vaše kontaktní údaje a poté klikněte na požadované políčko níže. </v>
      </c>
    </row>
    <row r="9" spans="1:23" ht="10.9" customHeight="1" x14ac:dyDescent="0.25"/>
    <row r="10" spans="1:23" ht="6.6" customHeight="1" x14ac:dyDescent="0.25"/>
    <row r="11" spans="1:23" x14ac:dyDescent="0.25">
      <c r="E11" s="82" t="str">
        <f>překlady!B31</f>
        <v>Číslo objednávky</v>
      </c>
      <c r="F11" s="82"/>
      <c r="G11" s="82"/>
      <c r="H11" s="82"/>
      <c r="I11" s="82"/>
      <c r="J11" s="15"/>
      <c r="K11" s="83"/>
      <c r="L11" s="83"/>
      <c r="M11" s="83"/>
      <c r="N11" s="83"/>
      <c r="O11" s="83"/>
      <c r="P11" s="83"/>
    </row>
    <row r="12" spans="1:23" ht="6" customHeight="1" x14ac:dyDescent="0.25">
      <c r="K12" s="16"/>
      <c r="L12" s="16"/>
      <c r="M12" s="16"/>
      <c r="N12" s="16"/>
      <c r="O12" s="16"/>
      <c r="P12" s="16"/>
    </row>
    <row r="13" spans="1:23" x14ac:dyDescent="0.25">
      <c r="E13" s="82" t="str">
        <f>překlady!B32</f>
        <v>Zákazník</v>
      </c>
      <c r="F13" s="82"/>
      <c r="G13" s="82"/>
      <c r="H13" s="82"/>
      <c r="I13" s="82"/>
      <c r="J13" s="15"/>
      <c r="K13" s="83"/>
      <c r="L13" s="83"/>
      <c r="M13" s="83"/>
      <c r="N13" s="83"/>
      <c r="O13" s="83"/>
      <c r="P13" s="83"/>
    </row>
    <row r="14" spans="1:23" ht="6" customHeight="1" x14ac:dyDescent="0.25">
      <c r="K14" s="16"/>
      <c r="L14" s="16"/>
      <c r="M14" s="16"/>
      <c r="N14" s="16"/>
      <c r="O14" s="16"/>
      <c r="P14" s="16"/>
    </row>
    <row r="15" spans="1:23" x14ac:dyDescent="0.25">
      <c r="E15" s="82" t="str">
        <f>překlady!B33</f>
        <v>IČ:</v>
      </c>
      <c r="F15" s="82"/>
      <c r="G15" s="82"/>
      <c r="H15" s="82"/>
      <c r="I15" s="82"/>
      <c r="J15" s="15"/>
      <c r="K15" s="83"/>
      <c r="L15" s="83"/>
      <c r="M15" s="83"/>
      <c r="N15" s="83"/>
      <c r="O15" s="83"/>
      <c r="P15" s="83"/>
    </row>
    <row r="16" spans="1:23" ht="6" customHeight="1" x14ac:dyDescent="0.25">
      <c r="K16" s="16"/>
      <c r="L16" s="16"/>
      <c r="M16" s="16"/>
      <c r="N16" s="16"/>
      <c r="O16" s="16"/>
      <c r="P16" s="16"/>
    </row>
    <row r="17" spans="2:19" x14ac:dyDescent="0.25">
      <c r="E17" s="82" t="str">
        <f>překlady!B34</f>
        <v>Kontaktní tel.</v>
      </c>
      <c r="F17" s="82"/>
      <c r="G17" s="82"/>
      <c r="H17" s="82"/>
      <c r="I17" s="82"/>
      <c r="J17" s="15"/>
      <c r="K17" s="83"/>
      <c r="L17" s="83"/>
      <c r="M17" s="83"/>
      <c r="N17" s="83"/>
      <c r="O17" s="83"/>
      <c r="P17" s="83"/>
    </row>
    <row r="18" spans="2:19" ht="6" customHeight="1" x14ac:dyDescent="0.25">
      <c r="K18" s="16"/>
      <c r="L18" s="16"/>
      <c r="M18" s="16"/>
      <c r="N18" s="16"/>
      <c r="O18" s="16"/>
      <c r="P18" s="16"/>
    </row>
    <row r="19" spans="2:19" ht="45.6" customHeight="1" x14ac:dyDescent="0.25">
      <c r="E19" s="81" t="str">
        <f>překlady!$B$53</f>
        <v>Běžný termín pro potisk je 10 pracovních dnů.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2:19" ht="18" customHeight="1" x14ac:dyDescent="0.25">
      <c r="K20" s="16"/>
      <c r="L20" s="16"/>
      <c r="M20" s="16"/>
      <c r="N20" s="16"/>
      <c r="O20" s="16"/>
      <c r="P20" s="16"/>
    </row>
    <row r="21" spans="2:19" x14ac:dyDescent="0.25">
      <c r="E21" s="81" t="str">
        <f>překlady!B35</f>
        <v>Uvedené ceny jsou bez DPH!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2:19" ht="17.25" customHeight="1" x14ac:dyDescent="0.25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2:19" ht="15" customHeight="1" x14ac:dyDescent="0.25">
      <c r="E23" s="53" t="str">
        <f>překlady!B36</f>
        <v xml:space="preserve">Při vyplňování formuláře postupujte vždy shora dolů. Provedete li zpětně změnu, překontrolujte zda jsou následující položky správně. 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5" spans="2:19" x14ac:dyDescent="0.25">
      <c r="E25" s="76" t="str">
        <f>překlady!B41</f>
        <v>K objednávce nutno přiložit grafický podklad loga ve vektorech a barvy podle pantone vzorníku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</row>
    <row r="26" spans="2:19" x14ac:dyDescent="0.25">
      <c r="E26" s="17"/>
    </row>
    <row r="27" spans="2:19" x14ac:dyDescent="0.25">
      <c r="E27" s="76" t="str">
        <f>překlady!B37</f>
        <v>Vyplněnou objednávku zašlete na adresu objednavky@demos-trade.com</v>
      </c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</row>
    <row r="29" spans="2:19" x14ac:dyDescent="0.25"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2:19" x14ac:dyDescent="0.25">
      <c r="E30" s="19" t="str">
        <f>překlady!B46</f>
        <v>Potvrzuji, že rozumím a přijímám výše uvedené podmínky a doporučení.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2:19" ht="18" customHeight="1" thickBot="1" x14ac:dyDescent="0.3"/>
    <row r="32" spans="2:19" ht="14.45" customHeight="1" x14ac:dyDescent="0.25">
      <c r="B32" s="64" t="str">
        <f>překlady!B40</f>
        <v>&lt;  Zpět</v>
      </c>
      <c r="C32" s="65"/>
      <c r="J32" s="77"/>
      <c r="R32" s="79" t="str">
        <f>překlady!B39</f>
        <v>Dále &gt;</v>
      </c>
      <c r="S32" s="80"/>
    </row>
    <row r="33" spans="2:19" ht="15.75" customHeight="1" thickBot="1" x14ac:dyDescent="0.3">
      <c r="B33" s="64"/>
      <c r="C33" s="65"/>
      <c r="J33" s="78"/>
      <c r="R33" s="79"/>
      <c r="S33" s="80"/>
    </row>
    <row r="35" spans="2:19" x14ac:dyDescent="0.25"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2:19" x14ac:dyDescent="0.25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2:19" x14ac:dyDescent="0.25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2:19" x14ac:dyDescent="0.25"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  <row r="40" spans="2:19" x14ac:dyDescent="0.25"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2:19" x14ac:dyDescent="0.25"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sheetProtection algorithmName="SHA-512" hashValue="DkzJnKzcrqNEGuStcA8APwzihIhBm+h6wVGxKuOb0v1TzKbWNvZtcinFrk5oydcSIjuDHmERjUzYFEWrWEl+Tg==" saltValue="jWaWeiM0ZNHJd6SsvxnDjw==" spinCount="100000" sheet="1" objects="1" scenarios="1"/>
  <mergeCells count="22">
    <mergeCell ref="Q2:T3"/>
    <mergeCell ref="H5:S5"/>
    <mergeCell ref="E11:I11"/>
    <mergeCell ref="K11:P11"/>
    <mergeCell ref="E13:I13"/>
    <mergeCell ref="K13:P13"/>
    <mergeCell ref="E21:P21"/>
    <mergeCell ref="E15:I15"/>
    <mergeCell ref="K15:P15"/>
    <mergeCell ref="E17:I17"/>
    <mergeCell ref="K17:P17"/>
    <mergeCell ref="E19:P19"/>
    <mergeCell ref="B32:C33"/>
    <mergeCell ref="J32:J33"/>
    <mergeCell ref="R32:S33"/>
    <mergeCell ref="E35:P35"/>
    <mergeCell ref="E36:P36"/>
    <mergeCell ref="E37:P37"/>
    <mergeCell ref="E38:P38"/>
    <mergeCell ref="E40:P41"/>
    <mergeCell ref="E25:P25"/>
    <mergeCell ref="E27:P27"/>
  </mergeCells>
  <conditionalFormatting sqref="R32:S33">
    <cfRule type="expression" dxfId="12" priority="1">
      <formula>W2=FALSE</formula>
    </cfRule>
  </conditionalFormatting>
  <hyperlinks>
    <hyperlink ref="Q2:T3" location="Úvod!A1" display="Úvod!A1" xr:uid="{4A514774-88F4-45ED-963F-4DEBB241801A}"/>
    <hyperlink ref="B32:C33" location="Úvod!A1" display="Úvod!A1" xr:uid="{2D8F6A2E-B177-42F7-96D6-7F7CC2723D36}"/>
    <hyperlink ref="R32:S33" location="Config!A1" display="Config!A1" xr:uid="{1DC0C41C-EF6E-4CA0-9B1C-CD80D2087375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9</xdr:col>
                    <xdr:colOff>180975</xdr:colOff>
                    <xdr:row>31</xdr:row>
                    <xdr:rowOff>0</xdr:rowOff>
                  </from>
                  <to>
                    <xdr:col>9</xdr:col>
                    <xdr:colOff>476250</xdr:colOff>
                    <xdr:row>32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2B49-164E-4D57-90CF-1E1CFF74A627}">
  <sheetPr codeName="List2"/>
  <dimension ref="A1:O55"/>
  <sheetViews>
    <sheetView workbookViewId="0">
      <selection activeCell="B1" sqref="B1"/>
    </sheetView>
  </sheetViews>
  <sheetFormatPr defaultRowHeight="15" x14ac:dyDescent="0.25"/>
  <cols>
    <col min="2" max="2" width="26.42578125" customWidth="1"/>
    <col min="3" max="3" width="25.5703125" customWidth="1"/>
    <col min="6" max="6" width="74" customWidth="1"/>
    <col min="7" max="7" width="69.28515625" customWidth="1"/>
    <col min="8" max="8" width="13.28515625" customWidth="1"/>
    <col min="14" max="14" width="15" customWidth="1"/>
  </cols>
  <sheetData>
    <row r="1" spans="1:15" x14ac:dyDescent="0.25">
      <c r="A1" t="str">
        <f>B4</f>
        <v xml:space="preserve">Verze </v>
      </c>
      <c r="B1" s="59" t="s">
        <v>600</v>
      </c>
      <c r="D1">
        <f>Úvod!N29</f>
        <v>1</v>
      </c>
    </row>
    <row r="2" spans="1:15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511</v>
      </c>
    </row>
    <row r="3" spans="1:15" x14ac:dyDescent="0.25">
      <c r="B3" t="str">
        <f>IF($D$1=1,C:C,IF($D$1=2,D:D,IF($D$1=3,E:E,IF($D$1=4,F:F,IF($D$1=5,G:G,IF($D$1=6,H:H))))))</f>
        <v>česky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553</v>
      </c>
    </row>
    <row r="4" spans="1:15" x14ac:dyDescent="0.25">
      <c r="B4" t="str">
        <f t="shared" ref="B4:B55" si="0">IF($D$1=1,C:C,IF($D$1=2,D:D,IF($D$1=3,E:E,IF($D$1=4,F:F,IF($D$1=5,G:G,IF($D$1=6,H:H))))))</f>
        <v xml:space="preserve">Verze </v>
      </c>
      <c r="C4" t="s">
        <v>410</v>
      </c>
      <c r="D4" t="s">
        <v>411</v>
      </c>
      <c r="E4" t="s">
        <v>457</v>
      </c>
      <c r="F4" t="s">
        <v>458</v>
      </c>
      <c r="G4" s="50" t="s">
        <v>501</v>
      </c>
      <c r="H4" t="s">
        <v>501</v>
      </c>
    </row>
    <row r="5" spans="1:15" x14ac:dyDescent="0.25">
      <c r="B5" t="str">
        <f t="shared" si="0"/>
        <v>Konfigurátor krytek</v>
      </c>
      <c r="C5" t="s">
        <v>10</v>
      </c>
      <c r="D5" t="s">
        <v>337</v>
      </c>
      <c r="E5" t="s">
        <v>415</v>
      </c>
      <c r="F5" t="s">
        <v>556</v>
      </c>
      <c r="G5" s="50" t="s">
        <v>459</v>
      </c>
      <c r="H5" s="56" t="s">
        <v>512</v>
      </c>
    </row>
    <row r="6" spans="1:15" x14ac:dyDescent="0.25">
      <c r="B6" t="str">
        <f t="shared" si="0"/>
        <v>Materiál krytky</v>
      </c>
      <c r="C6" t="s">
        <v>13</v>
      </c>
      <c r="D6" t="s">
        <v>13</v>
      </c>
      <c r="E6" t="s">
        <v>416</v>
      </c>
      <c r="F6" t="s">
        <v>366</v>
      </c>
      <c r="G6" s="50" t="s">
        <v>460</v>
      </c>
      <c r="H6" s="30" t="s">
        <v>513</v>
      </c>
    </row>
    <row r="7" spans="1:15" x14ac:dyDescent="0.25">
      <c r="A7">
        <v>1</v>
      </c>
      <c r="B7" t="str">
        <f t="shared" si="0"/>
        <v>Plast</v>
      </c>
      <c r="C7" t="s">
        <v>11</v>
      </c>
      <c r="D7" t="s">
        <v>11</v>
      </c>
      <c r="E7" t="s">
        <v>417</v>
      </c>
      <c r="F7" t="s">
        <v>367</v>
      </c>
      <c r="G7" s="50" t="s">
        <v>461</v>
      </c>
      <c r="H7" t="s">
        <v>514</v>
      </c>
    </row>
    <row r="8" spans="1:15" x14ac:dyDescent="0.25">
      <c r="A8">
        <v>2</v>
      </c>
      <c r="B8" t="str">
        <f t="shared" si="0"/>
        <v>Kov</v>
      </c>
      <c r="C8" t="s">
        <v>12</v>
      </c>
      <c r="D8" t="s">
        <v>12</v>
      </c>
      <c r="E8" t="s">
        <v>418</v>
      </c>
      <c r="F8" t="s">
        <v>368</v>
      </c>
      <c r="G8" s="50" t="s">
        <v>418</v>
      </c>
      <c r="H8" t="s">
        <v>515</v>
      </c>
    </row>
    <row r="9" spans="1:15" x14ac:dyDescent="0.25">
      <c r="B9" t="str">
        <f t="shared" si="0"/>
        <v>Množství (min. 50 ks)</v>
      </c>
      <c r="C9" t="s">
        <v>255</v>
      </c>
      <c r="D9" t="s">
        <v>338</v>
      </c>
      <c r="E9" t="s">
        <v>419</v>
      </c>
      <c r="F9" t="s">
        <v>369</v>
      </c>
      <c r="G9" s="50" t="s">
        <v>462</v>
      </c>
      <c r="H9" s="30" t="s">
        <v>516</v>
      </c>
    </row>
    <row r="10" spans="1:15" x14ac:dyDescent="0.25">
      <c r="B10" t="str">
        <f t="shared" si="0"/>
        <v>Počet barev loga (1-4)</v>
      </c>
      <c r="C10" t="s">
        <v>14</v>
      </c>
      <c r="D10" t="s">
        <v>339</v>
      </c>
      <c r="E10" t="s">
        <v>420</v>
      </c>
      <c r="F10" t="s">
        <v>370</v>
      </c>
      <c r="G10" s="50" t="s">
        <v>463</v>
      </c>
      <c r="H10" s="30" t="s">
        <v>517</v>
      </c>
    </row>
    <row r="11" spans="1:15" x14ac:dyDescent="0.25">
      <c r="B11" t="str">
        <f t="shared" si="0"/>
        <v>Cena za tisk</v>
      </c>
      <c r="C11" t="s">
        <v>222</v>
      </c>
      <c r="D11" t="s">
        <v>340</v>
      </c>
      <c r="E11" t="s">
        <v>421</v>
      </c>
      <c r="F11" t="s">
        <v>371</v>
      </c>
      <c r="G11" s="50" t="s">
        <v>464</v>
      </c>
      <c r="H11" s="30" t="s">
        <v>518</v>
      </c>
    </row>
    <row r="12" spans="1:15" x14ac:dyDescent="0.25">
      <c r="B12" t="str">
        <f t="shared" si="0"/>
        <v>Opakovaný tisk?</v>
      </c>
      <c r="C12" t="s">
        <v>28</v>
      </c>
      <c r="D12" t="s">
        <v>341</v>
      </c>
      <c r="E12" t="s">
        <v>422</v>
      </c>
      <c r="F12" t="s">
        <v>372</v>
      </c>
      <c r="G12" s="50" t="s">
        <v>465</v>
      </c>
      <c r="H12" s="30" t="s">
        <v>519</v>
      </c>
    </row>
    <row r="13" spans="1:15" ht="15" customHeight="1" x14ac:dyDescent="0.25">
      <c r="B13" t="str">
        <f t="shared" si="0"/>
        <v>ano, stejná zakázka již dříve proběhla</v>
      </c>
      <c r="C13" t="s">
        <v>330</v>
      </c>
      <c r="D13" t="s">
        <v>342</v>
      </c>
      <c r="E13" t="s">
        <v>452</v>
      </c>
      <c r="F13" t="s">
        <v>373</v>
      </c>
      <c r="G13" s="50" t="s">
        <v>466</v>
      </c>
      <c r="H13" t="s">
        <v>520</v>
      </c>
      <c r="N13" s="85" t="s">
        <v>323</v>
      </c>
      <c r="O13" t="s">
        <v>29</v>
      </c>
    </row>
    <row r="14" spans="1:15" x14ac:dyDescent="0.25">
      <c r="B14" t="str">
        <f t="shared" si="0"/>
        <v>ne, jde o novou zakázku</v>
      </c>
      <c r="C14" t="s">
        <v>331</v>
      </c>
      <c r="D14" t="s">
        <v>343</v>
      </c>
      <c r="E14" t="s">
        <v>453</v>
      </c>
      <c r="F14" t="s">
        <v>374</v>
      </c>
      <c r="G14" s="50" t="s">
        <v>467</v>
      </c>
      <c r="H14" t="s">
        <v>521</v>
      </c>
      <c r="N14" s="85"/>
      <c r="O14" t="s">
        <v>30</v>
      </c>
    </row>
    <row r="15" spans="1:15" x14ac:dyDescent="0.25">
      <c r="B15" t="str">
        <f t="shared" si="0"/>
        <v>Poplatek za opakovaný tisk</v>
      </c>
      <c r="C15" t="s">
        <v>31</v>
      </c>
      <c r="D15" t="s">
        <v>344</v>
      </c>
      <c r="E15" t="s">
        <v>423</v>
      </c>
      <c r="F15" t="s">
        <v>375</v>
      </c>
      <c r="G15" s="50" t="s">
        <v>468</v>
      </c>
      <c r="H15" s="30" t="s">
        <v>522</v>
      </c>
    </row>
    <row r="16" spans="1:15" x14ac:dyDescent="0.25">
      <c r="B16" t="str">
        <f t="shared" si="0"/>
        <v>Poplatek za přípravu</v>
      </c>
      <c r="C16" t="s">
        <v>32</v>
      </c>
      <c r="D16" t="s">
        <v>345</v>
      </c>
      <c r="E16" t="s">
        <v>424</v>
      </c>
      <c r="F16" t="s">
        <v>376</v>
      </c>
      <c r="G16" s="50" t="s">
        <v>469</v>
      </c>
      <c r="H16" s="30" t="s">
        <v>523</v>
      </c>
    </row>
    <row r="17" spans="2:8" x14ac:dyDescent="0.25">
      <c r="B17" t="str">
        <f t="shared" si="0"/>
        <v>Příprava grafiky</v>
      </c>
      <c r="C17" t="s">
        <v>33</v>
      </c>
      <c r="D17" t="s">
        <v>346</v>
      </c>
      <c r="E17" s="30" t="s">
        <v>425</v>
      </c>
      <c r="F17" t="s">
        <v>377</v>
      </c>
      <c r="G17" s="50" t="s">
        <v>470</v>
      </c>
      <c r="H17" s="30" t="s">
        <v>524</v>
      </c>
    </row>
    <row r="18" spans="2:8" x14ac:dyDescent="0.25">
      <c r="B18" t="str">
        <f t="shared" si="0"/>
        <v>závěs</v>
      </c>
      <c r="C18" t="s">
        <v>230</v>
      </c>
      <c r="D18" t="s">
        <v>347</v>
      </c>
      <c r="E18" t="s">
        <v>426</v>
      </c>
      <c r="F18" t="s">
        <v>378</v>
      </c>
      <c r="G18" s="50" t="s">
        <v>471</v>
      </c>
      <c r="H18" s="30" t="s">
        <v>525</v>
      </c>
    </row>
    <row r="19" spans="2:8" x14ac:dyDescent="0.25">
      <c r="B19" t="str">
        <f t="shared" si="0"/>
        <v>zásuvku</v>
      </c>
      <c r="C19" t="s">
        <v>329</v>
      </c>
      <c r="D19" t="s">
        <v>329</v>
      </c>
      <c r="E19" t="s">
        <v>427</v>
      </c>
      <c r="F19" t="s">
        <v>379</v>
      </c>
      <c r="G19" s="50" t="s">
        <v>472</v>
      </c>
      <c r="H19" t="s">
        <v>526</v>
      </c>
    </row>
    <row r="20" spans="2:8" x14ac:dyDescent="0.25">
      <c r="B20" t="str">
        <f t="shared" si="0"/>
        <v>Značka krytky</v>
      </c>
      <c r="C20" t="s">
        <v>228</v>
      </c>
      <c r="D20" t="s">
        <v>228</v>
      </c>
      <c r="E20" t="s">
        <v>428</v>
      </c>
      <c r="F20" t="s">
        <v>380</v>
      </c>
      <c r="G20" s="50" t="s">
        <v>473</v>
      </c>
      <c r="H20" s="30" t="s">
        <v>527</v>
      </c>
    </row>
    <row r="21" spans="2:8" x14ac:dyDescent="0.25">
      <c r="B21" t="str">
        <f t="shared" si="0"/>
        <v>Krytka na</v>
      </c>
      <c r="C21" t="s">
        <v>229</v>
      </c>
      <c r="D21" t="s">
        <v>348</v>
      </c>
      <c r="E21" t="s">
        <v>429</v>
      </c>
      <c r="F21" t="s">
        <v>381</v>
      </c>
      <c r="G21" s="50" t="s">
        <v>474</v>
      </c>
      <c r="H21" s="30" t="s">
        <v>528</v>
      </c>
    </row>
    <row r="22" spans="2:8" x14ac:dyDescent="0.25">
      <c r="B22" t="str">
        <f t="shared" si="0"/>
        <v>Základní cena za 1 krytku</v>
      </c>
      <c r="C22" t="s">
        <v>212</v>
      </c>
      <c r="D22" t="s">
        <v>349</v>
      </c>
      <c r="E22" s="30" t="s">
        <v>430</v>
      </c>
      <c r="F22" t="s">
        <v>382</v>
      </c>
      <c r="G22" s="50" t="s">
        <v>475</v>
      </c>
      <c r="H22" s="30" t="s">
        <v>529</v>
      </c>
    </row>
    <row r="23" spans="2:8" x14ac:dyDescent="0.25">
      <c r="B23" t="str">
        <f t="shared" si="0"/>
        <v>Sleva na krytky v %</v>
      </c>
      <c r="C23" t="s">
        <v>226</v>
      </c>
      <c r="D23" t="s">
        <v>350</v>
      </c>
      <c r="E23" t="s">
        <v>431</v>
      </c>
      <c r="F23" t="s">
        <v>383</v>
      </c>
      <c r="G23" s="50" t="s">
        <v>476</v>
      </c>
      <c r="H23" s="30" t="s">
        <v>530</v>
      </c>
    </row>
    <row r="24" spans="2:8" x14ac:dyDescent="0.25">
      <c r="B24" t="str">
        <f t="shared" si="0"/>
        <v>Cena krytky po slevě</v>
      </c>
      <c r="C24" t="s">
        <v>213</v>
      </c>
      <c r="D24" t="s">
        <v>351</v>
      </c>
      <c r="E24" t="s">
        <v>432</v>
      </c>
      <c r="F24" t="s">
        <v>384</v>
      </c>
      <c r="G24" s="50" t="s">
        <v>477</v>
      </c>
      <c r="H24" s="30" t="s">
        <v>531</v>
      </c>
    </row>
    <row r="25" spans="2:8" x14ac:dyDescent="0.25">
      <c r="B25" t="str">
        <f t="shared" si="0"/>
        <v>Vyplňte jedno z polí:</v>
      </c>
      <c r="C25" t="s">
        <v>248</v>
      </c>
      <c r="D25" t="s">
        <v>248</v>
      </c>
      <c r="E25" t="s">
        <v>433</v>
      </c>
      <c r="F25" t="s">
        <v>385</v>
      </c>
      <c r="G25" s="50" t="s">
        <v>478</v>
      </c>
      <c r="H25" s="30" t="s">
        <v>532</v>
      </c>
    </row>
    <row r="26" spans="2:8" x14ac:dyDescent="0.25">
      <c r="B26" t="str">
        <f t="shared" si="0"/>
        <v>Celková cena krytek s potiskem</v>
      </c>
      <c r="C26" t="s">
        <v>224</v>
      </c>
      <c r="D26" t="s">
        <v>352</v>
      </c>
      <c r="E26" t="s">
        <v>434</v>
      </c>
      <c r="F26" t="s">
        <v>386</v>
      </c>
      <c r="G26" s="50" t="s">
        <v>479</v>
      </c>
      <c r="H26" t="s">
        <v>533</v>
      </c>
    </row>
    <row r="27" spans="2:8" x14ac:dyDescent="0.25">
      <c r="B27" t="str">
        <f t="shared" si="0"/>
        <v>Cena za 1 krytku s potiskem</v>
      </c>
      <c r="C27" t="s">
        <v>223</v>
      </c>
      <c r="D27" t="s">
        <v>353</v>
      </c>
      <c r="E27" t="s">
        <v>435</v>
      </c>
      <c r="F27" t="s">
        <v>387</v>
      </c>
      <c r="G27" s="50" t="s">
        <v>480</v>
      </c>
      <c r="H27" t="s">
        <v>534</v>
      </c>
    </row>
    <row r="28" spans="2:8" x14ac:dyDescent="0.25">
      <c r="B28" t="str">
        <f t="shared" si="0"/>
        <v>Úvod</v>
      </c>
      <c r="C28" t="s">
        <v>227</v>
      </c>
      <c r="D28" t="s">
        <v>227</v>
      </c>
      <c r="E28" t="s">
        <v>436</v>
      </c>
      <c r="F28" t="s">
        <v>388</v>
      </c>
      <c r="G28" s="50" t="s">
        <v>481</v>
      </c>
      <c r="H28" s="56" t="s">
        <v>481</v>
      </c>
    </row>
    <row r="29" spans="2:8" ht="33.75" customHeight="1" x14ac:dyDescent="0.25">
      <c r="B29" t="str">
        <f t="shared" si="0"/>
        <v>Vždy používejte aktuální verzi formuláře, který je dostupný na našich stánkách.</v>
      </c>
      <c r="C29" t="s">
        <v>231</v>
      </c>
      <c r="D29" t="s">
        <v>354</v>
      </c>
      <c r="E29" t="s">
        <v>437</v>
      </c>
      <c r="F29" t="s">
        <v>389</v>
      </c>
      <c r="G29" s="51" t="s">
        <v>482</v>
      </c>
      <c r="H29" s="50" t="s">
        <v>535</v>
      </c>
    </row>
    <row r="30" spans="2:8" ht="21.75" customHeight="1" x14ac:dyDescent="0.25">
      <c r="B30" t="str">
        <f t="shared" si="0"/>
        <v xml:space="preserve">Vyplňte prosím vaše kontaktní údaje a poté klikněte na požadované políčko níže. </v>
      </c>
      <c r="C30" t="s">
        <v>232</v>
      </c>
      <c r="D30" t="s">
        <v>355</v>
      </c>
      <c r="E30" t="s">
        <v>438</v>
      </c>
      <c r="F30" t="s">
        <v>390</v>
      </c>
      <c r="G30" s="51" t="s">
        <v>483</v>
      </c>
      <c r="H30" s="50" t="s">
        <v>536</v>
      </c>
    </row>
    <row r="31" spans="2:8" x14ac:dyDescent="0.25">
      <c r="B31" t="str">
        <f t="shared" si="0"/>
        <v>Číslo objednávky</v>
      </c>
      <c r="C31" t="s">
        <v>233</v>
      </c>
      <c r="D31" t="s">
        <v>233</v>
      </c>
      <c r="E31" t="s">
        <v>439</v>
      </c>
      <c r="F31" t="s">
        <v>391</v>
      </c>
      <c r="G31" s="50" t="s">
        <v>484</v>
      </c>
      <c r="H31" s="30" t="s">
        <v>537</v>
      </c>
    </row>
    <row r="32" spans="2:8" x14ac:dyDescent="0.25">
      <c r="B32" t="str">
        <f t="shared" si="0"/>
        <v>Zákazník</v>
      </c>
      <c r="C32" s="21" t="s">
        <v>234</v>
      </c>
      <c r="D32" t="s">
        <v>234</v>
      </c>
      <c r="E32" t="s">
        <v>440</v>
      </c>
      <c r="F32" t="s">
        <v>392</v>
      </c>
      <c r="G32" s="50" t="s">
        <v>485</v>
      </c>
      <c r="H32" s="30" t="s">
        <v>538</v>
      </c>
    </row>
    <row r="33" spans="2:8" x14ac:dyDescent="0.25">
      <c r="B33" t="str">
        <f t="shared" si="0"/>
        <v>IČ:</v>
      </c>
      <c r="C33" s="21" t="s">
        <v>235</v>
      </c>
      <c r="D33" t="s">
        <v>235</v>
      </c>
      <c r="E33" t="s">
        <v>441</v>
      </c>
      <c r="F33" t="s">
        <v>393</v>
      </c>
      <c r="G33" s="50" t="s">
        <v>486</v>
      </c>
      <c r="H33" s="30" t="s">
        <v>555</v>
      </c>
    </row>
    <row r="34" spans="2:8" x14ac:dyDescent="0.25">
      <c r="B34" t="str">
        <f t="shared" si="0"/>
        <v>Kontaktní tel.</v>
      </c>
      <c r="C34" s="21" t="s">
        <v>236</v>
      </c>
      <c r="D34" t="s">
        <v>237</v>
      </c>
      <c r="E34" t="s">
        <v>442</v>
      </c>
      <c r="F34" t="s">
        <v>394</v>
      </c>
      <c r="G34" s="50" t="s">
        <v>487</v>
      </c>
      <c r="H34" s="30" t="s">
        <v>539</v>
      </c>
    </row>
    <row r="35" spans="2:8" x14ac:dyDescent="0.25">
      <c r="B35" t="str">
        <f t="shared" si="0"/>
        <v>Uvedené ceny jsou bez DPH!</v>
      </c>
      <c r="C35" s="21" t="s">
        <v>238</v>
      </c>
      <c r="D35" t="s">
        <v>239</v>
      </c>
      <c r="E35" t="s">
        <v>443</v>
      </c>
      <c r="F35" t="s">
        <v>395</v>
      </c>
      <c r="G35" s="50" t="s">
        <v>488</v>
      </c>
      <c r="H35" t="s">
        <v>540</v>
      </c>
    </row>
    <row r="36" spans="2:8" ht="30" x14ac:dyDescent="0.25">
      <c r="B36" t="str">
        <f t="shared" si="0"/>
        <v xml:space="preserve">Při vyplňování formuláře postupujte vždy shora dolů. Provedete li zpětně změnu, překontrolujte zda jsou následující položky správně. </v>
      </c>
      <c r="C36" t="s">
        <v>240</v>
      </c>
      <c r="D36" t="s">
        <v>356</v>
      </c>
      <c r="E36" t="s">
        <v>444</v>
      </c>
      <c r="F36" t="s">
        <v>396</v>
      </c>
      <c r="G36" s="51" t="s">
        <v>489</v>
      </c>
      <c r="H36" s="50" t="s">
        <v>541</v>
      </c>
    </row>
    <row r="37" spans="2:8" x14ac:dyDescent="0.25">
      <c r="B37" t="str">
        <f t="shared" si="0"/>
        <v>Vyplněnou objednávku zašlete na adresu objednavky@demos-trade.com</v>
      </c>
      <c r="C37" s="21" t="s">
        <v>241</v>
      </c>
      <c r="D37" t="s">
        <v>242</v>
      </c>
      <c r="E37" t="s">
        <v>454</v>
      </c>
      <c r="F37" t="s">
        <v>397</v>
      </c>
      <c r="G37" s="50" t="s">
        <v>557</v>
      </c>
      <c r="H37" s="50" t="s">
        <v>542</v>
      </c>
    </row>
    <row r="38" spans="2:8" x14ac:dyDescent="0.25">
      <c r="B38" t="str">
        <f t="shared" si="0"/>
        <v>Kód a název krytky</v>
      </c>
      <c r="C38" t="s">
        <v>243</v>
      </c>
      <c r="D38" t="s">
        <v>357</v>
      </c>
      <c r="E38" t="s">
        <v>510</v>
      </c>
      <c r="F38" t="s">
        <v>398</v>
      </c>
      <c r="G38" s="50" t="s">
        <v>490</v>
      </c>
      <c r="H38" s="30" t="s">
        <v>543</v>
      </c>
    </row>
    <row r="39" spans="2:8" x14ac:dyDescent="0.25">
      <c r="B39" t="str">
        <f t="shared" si="0"/>
        <v>Dále &gt;</v>
      </c>
      <c r="C39" t="s">
        <v>246</v>
      </c>
      <c r="D39" t="s">
        <v>358</v>
      </c>
      <c r="E39" t="s">
        <v>247</v>
      </c>
      <c r="F39" t="s">
        <v>399</v>
      </c>
      <c r="G39" s="50" t="s">
        <v>491</v>
      </c>
      <c r="H39" s="30" t="s">
        <v>544</v>
      </c>
    </row>
    <row r="40" spans="2:8" x14ac:dyDescent="0.25">
      <c r="B40" t="str">
        <f t="shared" si="0"/>
        <v>&lt;  Zpět</v>
      </c>
      <c r="C40" t="s">
        <v>409</v>
      </c>
      <c r="D40" t="s">
        <v>408</v>
      </c>
      <c r="E40" t="s">
        <v>244</v>
      </c>
      <c r="F40" t="s">
        <v>245</v>
      </c>
      <c r="G40" s="50" t="s">
        <v>492</v>
      </c>
      <c r="H40" s="30" t="s">
        <v>545</v>
      </c>
    </row>
    <row r="41" spans="2:8" ht="30" x14ac:dyDescent="0.25">
      <c r="B41" t="str">
        <f t="shared" si="0"/>
        <v>K objednávce nutno přiložit grafický podklad loga ve vektorech a barvy podle pantone vzorníku</v>
      </c>
      <c r="C41" t="s">
        <v>336</v>
      </c>
      <c r="D41" t="s">
        <v>359</v>
      </c>
      <c r="E41" t="s">
        <v>445</v>
      </c>
      <c r="F41" t="s">
        <v>400</v>
      </c>
      <c r="G41" s="51" t="s">
        <v>493</v>
      </c>
      <c r="H41" s="30" t="s">
        <v>546</v>
      </c>
    </row>
    <row r="42" spans="2:8" x14ac:dyDescent="0.25">
      <c r="B42" t="str">
        <f t="shared" si="0"/>
        <v>Dostupnost krytek</v>
      </c>
      <c r="C42" t="s">
        <v>252</v>
      </c>
      <c r="D42" t="s">
        <v>360</v>
      </c>
      <c r="E42" t="s">
        <v>455</v>
      </c>
      <c r="F42" t="s">
        <v>401</v>
      </c>
      <c r="G42" s="50" t="s">
        <v>494</v>
      </c>
      <c r="H42" s="30" t="s">
        <v>547</v>
      </c>
    </row>
    <row r="43" spans="2:8" ht="30" x14ac:dyDescent="0.25">
      <c r="B43" t="str">
        <f t="shared" si="0"/>
        <v>Prosím pozor - objednávaná krytka není symetrická, je potřeba přiložit nákres</v>
      </c>
      <c r="C43" t="s">
        <v>332</v>
      </c>
      <c r="D43" t="s">
        <v>361</v>
      </c>
      <c r="E43" t="s">
        <v>446</v>
      </c>
      <c r="F43" t="s">
        <v>402</v>
      </c>
      <c r="G43" s="51" t="s">
        <v>495</v>
      </c>
      <c r="H43" s="57" t="s">
        <v>548</v>
      </c>
    </row>
    <row r="44" spans="2:8" x14ac:dyDescent="0.25">
      <c r="B44" t="str">
        <f t="shared" si="0"/>
        <v xml:space="preserve"> ks</v>
      </c>
      <c r="C44" t="s">
        <v>273</v>
      </c>
      <c r="D44" t="s">
        <v>15</v>
      </c>
      <c r="E44" t="s">
        <v>451</v>
      </c>
      <c r="F44" t="s">
        <v>403</v>
      </c>
      <c r="G44" s="50" t="s">
        <v>496</v>
      </c>
      <c r="H44" t="s">
        <v>496</v>
      </c>
    </row>
    <row r="45" spans="2:8" x14ac:dyDescent="0.25">
      <c r="B45" t="str">
        <f t="shared" si="0"/>
        <v>Upravte množství na celé balení</v>
      </c>
      <c r="C45" t="s">
        <v>276</v>
      </c>
      <c r="D45" t="s">
        <v>362</v>
      </c>
      <c r="E45" t="s">
        <v>447</v>
      </c>
      <c r="F45" t="s">
        <v>404</v>
      </c>
      <c r="G45" s="50" t="s">
        <v>497</v>
      </c>
      <c r="H45" t="s">
        <v>549</v>
      </c>
    </row>
    <row r="46" spans="2:8" x14ac:dyDescent="0.25">
      <c r="B46" t="str">
        <f t="shared" si="0"/>
        <v>Potvrzuji, že rozumím a přijímám výše uvedené podmínky a doporučení.</v>
      </c>
      <c r="C46" s="10" t="s">
        <v>502</v>
      </c>
      <c r="D46" t="s">
        <v>503</v>
      </c>
      <c r="E46" t="s">
        <v>504</v>
      </c>
      <c r="F46" t="s">
        <v>506</v>
      </c>
      <c r="G46" s="50" t="s">
        <v>505</v>
      </c>
      <c r="H46" t="s">
        <v>554</v>
      </c>
    </row>
    <row r="47" spans="2:8" x14ac:dyDescent="0.25">
      <c r="G47" s="51"/>
    </row>
    <row r="48" spans="2:8" x14ac:dyDescent="0.25">
      <c r="G48" s="50"/>
    </row>
    <row r="49" spans="2:8" x14ac:dyDescent="0.25">
      <c r="B49" t="str">
        <f t="shared" si="0"/>
        <v xml:space="preserve">Výše uvedená cena je finální, nelze uplatnit jakékoliv slevy. </v>
      </c>
      <c r="C49" t="s">
        <v>559</v>
      </c>
      <c r="D49" t="s">
        <v>560</v>
      </c>
      <c r="E49" t="s">
        <v>561</v>
      </c>
      <c r="F49" t="s">
        <v>562</v>
      </c>
      <c r="G49" s="50" t="s">
        <v>563</v>
      </c>
      <c r="H49" s="30" t="s">
        <v>564</v>
      </c>
    </row>
    <row r="50" spans="2:8" x14ac:dyDescent="0.25">
      <c r="B50" t="str">
        <f t="shared" si="0"/>
        <v>Cena se odvíjí od množství objednaných ks</v>
      </c>
      <c r="C50" t="s">
        <v>335</v>
      </c>
      <c r="D50" t="s">
        <v>363</v>
      </c>
      <c r="E50" t="s">
        <v>448</v>
      </c>
      <c r="F50" t="s">
        <v>405</v>
      </c>
      <c r="G50" s="50" t="s">
        <v>498</v>
      </c>
      <c r="H50" s="30" t="s">
        <v>550</v>
      </c>
    </row>
    <row r="51" spans="2:8" x14ac:dyDescent="0.25">
      <c r="B51" t="str">
        <f t="shared" si="0"/>
        <v>Cena při počtu 200 ks</v>
      </c>
      <c r="C51" t="s">
        <v>334</v>
      </c>
      <c r="D51" t="s">
        <v>364</v>
      </c>
      <c r="E51" s="30" t="s">
        <v>449</v>
      </c>
      <c r="F51" t="s">
        <v>406</v>
      </c>
      <c r="G51" s="50" t="s">
        <v>499</v>
      </c>
      <c r="H51" s="30" t="s">
        <v>551</v>
      </c>
    </row>
    <row r="52" spans="2:8" x14ac:dyDescent="0.25">
      <c r="B52" t="str">
        <f t="shared" si="0"/>
        <v>Cena při počtu 1000 ks</v>
      </c>
      <c r="C52" t="s">
        <v>333</v>
      </c>
      <c r="D52" t="s">
        <v>365</v>
      </c>
      <c r="E52" t="s">
        <v>450</v>
      </c>
      <c r="F52" t="s">
        <v>407</v>
      </c>
      <c r="G52" s="50" t="s">
        <v>500</v>
      </c>
      <c r="H52" s="30" t="s">
        <v>552</v>
      </c>
    </row>
    <row r="53" spans="2:8" x14ac:dyDescent="0.25">
      <c r="B53" t="str">
        <f t="shared" si="0"/>
        <v>Běžný termín pro potisk je 10 pracovních dnů.</v>
      </c>
      <c r="C53" t="s">
        <v>571</v>
      </c>
      <c r="D53" t="s">
        <v>572</v>
      </c>
      <c r="E53" t="s">
        <v>573</v>
      </c>
      <c r="F53" t="s">
        <v>558</v>
      </c>
      <c r="G53" t="s">
        <v>575</v>
      </c>
      <c r="H53" t="s">
        <v>574</v>
      </c>
    </row>
    <row r="54" spans="2:8" x14ac:dyDescent="0.25">
      <c r="B54" t="str">
        <f t="shared" si="0"/>
        <v>Napište barvy podle pantone vzorníku</v>
      </c>
      <c r="C54" t="s">
        <v>569</v>
      </c>
      <c r="D54" t="s">
        <v>568</v>
      </c>
      <c r="E54" t="s">
        <v>567</v>
      </c>
      <c r="F54" t="s">
        <v>566</v>
      </c>
      <c r="G54" s="51" t="s">
        <v>576</v>
      </c>
      <c r="H54" s="30" t="s">
        <v>565</v>
      </c>
    </row>
    <row r="55" spans="2:8" x14ac:dyDescent="0.25">
      <c r="B55" t="str">
        <f t="shared" si="0"/>
        <v>Vybranou krytku nemáme skladem, proto se prodlouží termín dodání o 5-15 pracovních dnů.</v>
      </c>
      <c r="C55" t="s">
        <v>594</v>
      </c>
      <c r="D55" t="s">
        <v>595</v>
      </c>
      <c r="E55" t="s">
        <v>596</v>
      </c>
      <c r="F55" t="s">
        <v>597</v>
      </c>
      <c r="G55" t="s">
        <v>598</v>
      </c>
      <c r="H55" t="s">
        <v>599</v>
      </c>
    </row>
  </sheetData>
  <mergeCells count="1">
    <mergeCell ref="N13: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F25D-6C1F-41DB-9AA5-F7531ACF0B68}">
  <sheetPr codeName="List3"/>
  <dimension ref="A1:X29"/>
  <sheetViews>
    <sheetView showGridLines="0" showRowColHeaders="0" workbookViewId="0">
      <selection activeCell="D15" sqref="D15"/>
    </sheetView>
  </sheetViews>
  <sheetFormatPr defaultColWidth="0" defaultRowHeight="15" zeroHeight="1" x14ac:dyDescent="0.25"/>
  <cols>
    <col min="1" max="1" width="10.5703125" style="10" customWidth="1"/>
    <col min="2" max="2" width="47.5703125" style="10" customWidth="1"/>
    <col min="3" max="3" width="3.5703125" style="10" customWidth="1"/>
    <col min="4" max="5" width="26.28515625" style="10" customWidth="1"/>
    <col min="6" max="6" width="2.28515625" style="10" customWidth="1"/>
    <col min="7" max="7" width="12" style="10" customWidth="1"/>
    <col min="8" max="8" width="8.140625" style="10" customWidth="1"/>
    <col min="9" max="9" width="17.140625" style="10" customWidth="1"/>
    <col min="10" max="10" width="9.28515625" style="10" customWidth="1"/>
    <col min="11" max="11" width="38" style="10" customWidth="1"/>
    <col min="12" max="12" width="9.140625" style="10" customWidth="1"/>
    <col min="13" max="13" width="22.140625" style="10" customWidth="1"/>
    <col min="14" max="21" width="9.140625" style="10" hidden="1" customWidth="1"/>
    <col min="22" max="22" width="12.140625" style="10" hidden="1" customWidth="1"/>
    <col min="23" max="23" width="10.42578125" style="10" hidden="1" customWidth="1"/>
    <col min="24" max="16384" width="9.140625" style="10" hidden="1"/>
  </cols>
  <sheetData>
    <row r="1" spans="1:24" ht="27.6" customHeight="1" x14ac:dyDescent="0.25"/>
    <row r="2" spans="1:24" ht="18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65" t="str">
        <f>překlady!B28</f>
        <v>Úvod</v>
      </c>
      <c r="M2" s="65"/>
    </row>
    <row r="3" spans="1:24" ht="19.149999999999999" customHeight="1" x14ac:dyDescent="0.25"/>
    <row r="4" spans="1:24" ht="15.75" x14ac:dyDescent="0.25">
      <c r="B4" s="44" t="str">
        <f>překlady!B20</f>
        <v>Značka krytky</v>
      </c>
      <c r="D4" s="66"/>
      <c r="E4" s="66"/>
    </row>
    <row r="5" spans="1:24" ht="15.75" x14ac:dyDescent="0.25">
      <c r="B5" s="32" t="str">
        <f>překlady!B21</f>
        <v>Krytka na</v>
      </c>
      <c r="D5" s="66"/>
      <c r="E5" s="66"/>
      <c r="V5" s="10" t="s">
        <v>47</v>
      </c>
      <c r="W5" s="10" t="str">
        <f>CONCATENATE(D4,"_",W6)</f>
        <v>_0</v>
      </c>
    </row>
    <row r="6" spans="1:24" ht="45.75" customHeight="1" x14ac:dyDescent="0.25">
      <c r="B6" s="46" t="str">
        <f>překlady!B38</f>
        <v>Kód a název krytky</v>
      </c>
      <c r="D6" s="67"/>
      <c r="E6" s="67"/>
      <c r="F6" s="16" t="e">
        <f>VLOOKUP(D6,karty!C:X,21,0)</f>
        <v>#N/A</v>
      </c>
      <c r="V6" s="10" t="s">
        <v>48</v>
      </c>
      <c r="W6" s="10">
        <f>IF(D5=překlady!B18,"P",IF(D5=překlady!B19,"Z",0))</f>
        <v>0</v>
      </c>
      <c r="X6" s="10" t="s">
        <v>52</v>
      </c>
    </row>
    <row r="7" spans="1:24" ht="45" customHeight="1" x14ac:dyDescent="0.25">
      <c r="A7" s="16" t="e">
        <f>VLOOKUP(Config!D6,karty!C:R,16,0)</f>
        <v>#N/A</v>
      </c>
      <c r="B7" s="68" t="str">
        <f>IFERROR((IF(OR(D6=karty!C24,D6=karty!C25,D6=karty!C26),překlady!B55,IF(F6=2,překlady!B43,""))),"")</f>
        <v/>
      </c>
      <c r="C7" s="68"/>
      <c r="D7" s="68"/>
      <c r="E7" s="68"/>
      <c r="X7" s="10" t="s">
        <v>53</v>
      </c>
    </row>
    <row r="8" spans="1:24" ht="18.600000000000001" customHeight="1" x14ac:dyDescent="0.25">
      <c r="B8" s="44" t="str">
        <f>překlady!B9</f>
        <v>Množství (min. 50 ks)</v>
      </c>
      <c r="D8" s="58"/>
      <c r="E8" s="47" t="str">
        <f>překlady!B44</f>
        <v xml:space="preserve"> ks</v>
      </c>
      <c r="G8" s="16" t="str">
        <f>IF(D8&gt;49,překlady!B50,"")</f>
        <v/>
      </c>
      <c r="H8" s="16"/>
    </row>
    <row r="9" spans="1:24" ht="18.75" hidden="1" customHeight="1" x14ac:dyDescent="0.25">
      <c r="B9" s="32"/>
      <c r="D9" s="69"/>
      <c r="E9" s="69"/>
    </row>
    <row r="10" spans="1:24" ht="15.75" x14ac:dyDescent="0.25">
      <c r="B10" s="32" t="str">
        <f>překlady!B10</f>
        <v>Počet barev loga (1-4)</v>
      </c>
      <c r="C10" s="45"/>
      <c r="D10" s="73"/>
      <c r="E10" s="73"/>
      <c r="V10" s="10" t="s">
        <v>225</v>
      </c>
      <c r="X10" s="10" t="e">
        <f>VLOOKUP(D6,karty!C:P,14,0)</f>
        <v>#N/A</v>
      </c>
    </row>
    <row r="11" spans="1:24" ht="19.149999999999999" customHeight="1" x14ac:dyDescent="0.25">
      <c r="B11" s="62" t="str">
        <f>překlady!B54</f>
        <v>Napište barvy podle pantone vzorníku</v>
      </c>
      <c r="C11" s="61" t="str">
        <f>IF(D10&gt;0,"1:","")</f>
        <v/>
      </c>
      <c r="D11" s="70"/>
      <c r="E11" s="70"/>
      <c r="F11" s="48"/>
    </row>
    <row r="12" spans="1:24" ht="19.149999999999999" customHeight="1" x14ac:dyDescent="0.25">
      <c r="C12" s="60" t="str">
        <f>IF(D10&gt;1,"2:","")</f>
        <v/>
      </c>
      <c r="D12" s="71"/>
      <c r="E12" s="71"/>
      <c r="V12" s="10" t="s">
        <v>256</v>
      </c>
      <c r="W12" s="10" t="str">
        <f>IF(SUM(V14:V16)=3,IF(AND(D8&gt;49,D8&lt;200),1,IF(AND(D8&gt;199,D8&lt;901),2,0)),"")</f>
        <v/>
      </c>
    </row>
    <row r="13" spans="1:24" ht="19.149999999999999" customHeight="1" x14ac:dyDescent="0.25">
      <c r="C13" s="60" t="str">
        <f>IF(D10&gt;2,"3:","")</f>
        <v/>
      </c>
      <c r="D13" s="71"/>
      <c r="E13" s="71"/>
    </row>
    <row r="14" spans="1:24" ht="19.149999999999999" customHeight="1" x14ac:dyDescent="0.25">
      <c r="C14" s="60" t="str">
        <f>IF(D10&gt;3,"4:","")</f>
        <v/>
      </c>
      <c r="D14" s="71"/>
      <c r="E14" s="71"/>
      <c r="U14" s="49" t="s">
        <v>255</v>
      </c>
      <c r="V14" s="10">
        <f>IF(D8&lt;&gt;"",1,0)</f>
        <v>0</v>
      </c>
    </row>
    <row r="15" spans="1:24" ht="15.6" customHeight="1" x14ac:dyDescent="0.25">
      <c r="U15" s="49" t="s">
        <v>14</v>
      </c>
      <c r="V15" s="10">
        <f>IF(W19=1,1,0)</f>
        <v>0</v>
      </c>
    </row>
    <row r="16" spans="1:24" ht="34.9" customHeight="1" x14ac:dyDescent="0.25">
      <c r="B16" s="44" t="str">
        <f>překlady!B26</f>
        <v>Celková cena krytek s potiskem</v>
      </c>
      <c r="D16" s="31" t="b">
        <f>IF(W19=1,IF(překlady!D1=1,data!Q27,IF(překlady!D1=2,data!R27,IF(překlady!D1=3,data!S27,IF(překlady!D1=4,data!T27,IF(překlady!D1=5,data!U27,IF(překlady!D1=6,data!V27))))))+D8*X10)</f>
        <v>0</v>
      </c>
      <c r="E16" s="33" t="str">
        <f>IF(překlady!D1=1,data!Q28,IF(překlady!D1=2,data!R28,IF(překlady!D1=3,data!S28,IF(překlady!D1=4,data!T28,IF(překlady!D1=5,data!U28,data!V28)))))</f>
        <v>CZK</v>
      </c>
      <c r="G16" s="72" t="str">
        <f>IF(SUM(V14:V16)=3,překlady!B51,"")</f>
        <v/>
      </c>
      <c r="H16" s="72"/>
      <c r="I16" s="72" t="str">
        <f>IF(SUM(V14:V16)=3,překlady!B52,"")</f>
        <v/>
      </c>
      <c r="J16" s="72"/>
      <c r="U16" s="49" t="s">
        <v>28</v>
      </c>
      <c r="V16" s="10">
        <f>IF(D9&lt;&gt;"",1,0)</f>
        <v>0</v>
      </c>
    </row>
    <row r="17" spans="2:23" ht="15.75" x14ac:dyDescent="0.25">
      <c r="B17" s="34" t="str">
        <f>překlady!B27</f>
        <v>Cena za 1 krytku s potiskem</v>
      </c>
      <c r="D17" s="35" t="e">
        <f>D16/D8</f>
        <v>#DIV/0!</v>
      </c>
      <c r="E17" s="36" t="str">
        <f>IF(překlady!D1=1,data!Q28,IF(překlady!D1=2,data!R28,IF(překlady!D1=3,data!S28,IF(překlady!D1=4,data!T28,IF(překlady!D1=5,data!U28,data!V28)))))</f>
        <v>CZK</v>
      </c>
      <c r="G17" s="37" t="str">
        <f>IF(AND(W19=1,SUM(V14:V16)=3),IF(překlady!D1=1,data!X27,IF(překlady!D1=2,data!Y27,IF(překlady!D1=3,data!Z27,IF(překlady!D1=4,data!AA27,IF(OR(překlady!D1=5,překlady!D1=6),data!AB27)))))/200+X10,"")</f>
        <v/>
      </c>
      <c r="H17" s="39" t="str">
        <f>IF(SUM(V14:V16)=3,IF(překlady!$D$1=1,data!Q28,IF(překlady!$D$1=2,data!R28,IF(překlady!$D$1=3,data!S28,IF(překlady!$D$1=4,data!T28,IF(překlady!D1=5,data!U28,data!V28))))),"")</f>
        <v/>
      </c>
      <c r="I17" s="38" t="str">
        <f>IF(AND(W19=1,SUM(V14:V16)=3),IF(překlady!D1=1,data!AE27,IF(překlady!D1=2,data!AF27,IF(překlady!D1=3,data!AG27,IF(překlady!D1=4,data!AH27,IF(OR(překlady!D1=5,překlady!D1=6),data!AI27)))))/1000+X10,"")</f>
        <v/>
      </c>
      <c r="J17" s="39" t="str">
        <f>IF(SUM(V14:V16)=3,IF(překlady!$D$1=1,data!Q28,IF(překlady!$D$1=2,data!R28,IF(překlady!$D$1=3,data!S28,IF(překlady!$D$1=4,data!T28,IF(překlady!D1=5,data!U28,data!V28))))),"")</f>
        <v/>
      </c>
    </row>
    <row r="18" spans="2:23" ht="18.75" x14ac:dyDescent="0.3">
      <c r="B18" s="40"/>
      <c r="E18" s="41"/>
    </row>
    <row r="19" spans="2:23" x14ac:dyDescent="0.25">
      <c r="T19" s="10" t="s">
        <v>570</v>
      </c>
      <c r="W19" s="10">
        <f>IF(AND(D10=1,W20=1),1,IF(AND(D10=2,W21=1),1,IF(AND(D10=3,W22=1),1,IF(AND(D10=4,W23=1),1,0))))</f>
        <v>0</v>
      </c>
    </row>
    <row r="20" spans="2:23" ht="18.75" x14ac:dyDescent="0.3">
      <c r="B20" s="40" t="str">
        <f>překlady!B49 &amp; překlady!B35</f>
        <v>Výše uvedená cena je finální, nelze uplatnit jakékoliv slevy. Uvedené ceny jsou bez DPH!</v>
      </c>
      <c r="U20" s="10">
        <v>1</v>
      </c>
      <c r="V20" s="10" t="b">
        <f>ISBLANK(D11)</f>
        <v>1</v>
      </c>
      <c r="W20" s="10">
        <f>IF(AND($D$10=1,V20=FALSE),1,0)</f>
        <v>0</v>
      </c>
    </row>
    <row r="21" spans="2:23" x14ac:dyDescent="0.25">
      <c r="U21" s="10">
        <v>2</v>
      </c>
      <c r="V21" s="10" t="b">
        <f t="shared" ref="V21:V23" si="0">ISBLANK(D12)</f>
        <v>1</v>
      </c>
      <c r="W21" s="10">
        <f>IF(AND($D$10=2,V20=FALSE,V21=FALSE),1,0)</f>
        <v>0</v>
      </c>
    </row>
    <row r="22" spans="2:23" ht="18.75" x14ac:dyDescent="0.3">
      <c r="B22" s="42" t="str">
        <f>překlady!B41</f>
        <v>K objednávce nutno přiložit grafický podklad loga ve vektorech a barvy podle pantone vzorníku</v>
      </c>
      <c r="U22" s="10">
        <v>3</v>
      </c>
      <c r="V22" s="10" t="b">
        <f t="shared" si="0"/>
        <v>1</v>
      </c>
      <c r="W22" s="10">
        <f>IF(AND($D$10=3,V20=FALSE,V21=FALSE,V22=FALSE),1,0)</f>
        <v>0</v>
      </c>
    </row>
    <row r="23" spans="2:23" x14ac:dyDescent="0.25">
      <c r="L23" s="64" t="str">
        <f>překlady!B40</f>
        <v>&lt;  Zpět</v>
      </c>
      <c r="M23" s="65"/>
      <c r="U23" s="10">
        <v>4</v>
      </c>
      <c r="V23" s="10" t="b">
        <f t="shared" si="0"/>
        <v>1</v>
      </c>
      <c r="W23" s="10">
        <f>IF(AND($D$10=4,V20=FALSE,V21=FALSE,V22=FALSE,V23=FALSE),1,0)</f>
        <v>0</v>
      </c>
    </row>
    <row r="24" spans="2:23" ht="18.75" x14ac:dyDescent="0.3">
      <c r="B24" s="42" t="str">
        <f>překlady!B37</f>
        <v>Vyplněnou objednávku zašlete na adresu objednavky@demos-trade.com</v>
      </c>
      <c r="L24" s="64"/>
      <c r="M24" s="65"/>
    </row>
    <row r="25" spans="2:23" x14ac:dyDescent="0.25">
      <c r="B25" s="43"/>
    </row>
    <row r="26" spans="2:23" hidden="1" x14ac:dyDescent="0.25">
      <c r="B26" s="43"/>
    </row>
    <row r="27" spans="2:23" hidden="1" x14ac:dyDescent="0.25">
      <c r="B27" s="43"/>
    </row>
    <row r="28" spans="2:23" hidden="1" x14ac:dyDescent="0.25">
      <c r="J28" s="41"/>
    </row>
    <row r="29" spans="2:23" hidden="1" x14ac:dyDescent="0.25">
      <c r="B29" s="10" t="e" cm="1">
        <f t="array" aca="1" ref="B29" ca="1">INDIRECT(W5)</f>
        <v>#REF!</v>
      </c>
    </row>
  </sheetData>
  <sheetProtection algorithmName="SHA-512" hashValue="Pg63FhD47tCUjceuxFGc5c2VFQarBEkkzESRWdoG555vaArLbl0meSEV3jUvU6D3fswlYCP39f4rhmof3reC4g==" saltValue="A3tbzLLMXGDzRqaVfY7EbA==" spinCount="100000" sheet="1" objects="1" scenarios="1"/>
  <mergeCells count="14">
    <mergeCell ref="L23:M24"/>
    <mergeCell ref="L2:M2"/>
    <mergeCell ref="D4:E4"/>
    <mergeCell ref="D5:E5"/>
    <mergeCell ref="D6:E6"/>
    <mergeCell ref="B7:E7"/>
    <mergeCell ref="D9:E9"/>
    <mergeCell ref="D11:E11"/>
    <mergeCell ref="D13:E13"/>
    <mergeCell ref="D14:E14"/>
    <mergeCell ref="G16:H16"/>
    <mergeCell ref="I16:J16"/>
    <mergeCell ref="D10:E10"/>
    <mergeCell ref="D12:E12"/>
  </mergeCells>
  <conditionalFormatting sqref="B7">
    <cfRule type="notContainsBlanks" dxfId="0" priority="22">
      <formula>LEN(TRIM(B7))&gt;0</formula>
    </cfRule>
  </conditionalFormatting>
  <conditionalFormatting sqref="B11">
    <cfRule type="expression" dxfId="10" priority="1">
      <formula>$D$10&gt;0</formula>
    </cfRule>
  </conditionalFormatting>
  <conditionalFormatting sqref="C11:E11">
    <cfRule type="expression" dxfId="9" priority="2">
      <formula>$C$11="1:"</formula>
    </cfRule>
  </conditionalFormatting>
  <conditionalFormatting sqref="C12:E12">
    <cfRule type="expression" dxfId="8" priority="3">
      <formula>$C$12="2:"</formula>
    </cfRule>
  </conditionalFormatting>
  <conditionalFormatting sqref="C13:E13">
    <cfRule type="expression" dxfId="7" priority="4">
      <formula>$C$13="3:"</formula>
    </cfRule>
  </conditionalFormatting>
  <conditionalFormatting sqref="C14:E14">
    <cfRule type="expression" dxfId="6" priority="5">
      <formula>$C$14="4:"</formula>
    </cfRule>
  </conditionalFormatting>
  <conditionalFormatting sqref="D16">
    <cfRule type="cellIs" dxfId="5" priority="18" operator="between">
      <formula>1</formula>
      <formula>100000000000000000</formula>
    </cfRule>
  </conditionalFormatting>
  <conditionalFormatting sqref="D17">
    <cfRule type="cellIs" dxfId="4" priority="17" operator="between">
      <formula>0.1</formula>
      <formula>10000000000</formula>
    </cfRule>
  </conditionalFormatting>
  <conditionalFormatting sqref="G8:J8">
    <cfRule type="expression" dxfId="3" priority="21">
      <formula>$D$8&gt;49</formula>
    </cfRule>
  </conditionalFormatting>
  <conditionalFormatting sqref="G16:J17">
    <cfRule type="expression" dxfId="2" priority="20">
      <formula>$W$12=1</formula>
    </cfRule>
  </conditionalFormatting>
  <conditionalFormatting sqref="I16:J17">
    <cfRule type="expression" dxfId="1" priority="11">
      <formula>$W$12=2</formula>
    </cfRule>
  </conditionalFormatting>
  <dataValidations count="4">
    <dataValidation type="list" allowBlank="1" showInputMessage="1" showErrorMessage="1" sqref="D4" xr:uid="{EE5199A0-DB17-4DA6-A5DC-4B1BB5A4C6EA}">
      <formula1>"Strong,Blum,Hettich"</formula1>
    </dataValidation>
    <dataValidation type="whole" allowBlank="1" showInputMessage="1" showErrorMessage="1" sqref="D8" xr:uid="{43C59F68-1515-4F39-BDAD-912CE01E1553}">
      <formula1>50</formula1>
      <formula2>9999999999999990</formula2>
    </dataValidation>
    <dataValidation type="list" allowBlank="1" showInputMessage="1" showErrorMessage="1" sqref="D10" xr:uid="{93958122-2532-4B8D-95A1-82331837DC0D}">
      <formula1>"1,2,3,4"</formula1>
    </dataValidation>
    <dataValidation type="list" showInputMessage="1" showErrorMessage="1" sqref="D6:E6" xr:uid="{74DE17FE-F92A-436E-BF45-13819CB42846}">
      <formula1>$B$29:$B$37</formula1>
    </dataValidation>
  </dataValidations>
  <hyperlinks>
    <hyperlink ref="L23:M24" location="Zakaznik!A1" display="Zakaznik!A1" xr:uid="{1570FC46-91CD-48A6-8474-5CBDC7A1C5BF}"/>
    <hyperlink ref="L2:M2" location="Úvod!A1" display="Úvod!A1" xr:uid="{41CA77EF-9FEA-4B02-9485-358FADEE156A}"/>
  </hyperlink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E47AB6-8552-4805-B2E6-3F96825F416A}">
          <x14:formula1>
            <xm:f>překlady!$B$18:$B$19</xm:f>
          </x14:formula1>
          <xm:sqref>D5</xm:sqref>
        </x14:dataValidation>
        <x14:dataValidation type="list" allowBlank="1" showInputMessage="1" showErrorMessage="1" xr:uid="{C215AC98-0EDA-4785-B332-37DC4E499694}">
          <x14:formula1>
            <xm:f>překlady!$B$13:$B$14</xm:f>
          </x14:formula1>
          <xm:sqref>D9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C2E9-FD4F-4CC7-80B2-5535341EC49D}">
  <sheetPr codeName="List4"/>
  <dimension ref="A1:AI28"/>
  <sheetViews>
    <sheetView workbookViewId="0">
      <selection activeCell="AE25" sqref="AE25"/>
    </sheetView>
  </sheetViews>
  <sheetFormatPr defaultRowHeight="15" x14ac:dyDescent="0.25"/>
  <cols>
    <col min="1" max="1" width="25.7109375" bestFit="1" customWidth="1"/>
    <col min="2" max="2" width="10.5703125" bestFit="1" customWidth="1"/>
    <col min="3" max="12" width="9.28515625" bestFit="1" customWidth="1"/>
    <col min="13" max="13" width="9.42578125" bestFit="1" customWidth="1"/>
    <col min="14" max="14" width="9.28515625" bestFit="1" customWidth="1"/>
    <col min="16" max="16" width="18.28515625" bestFit="1" customWidth="1"/>
    <col min="17" max="17" width="13.140625" bestFit="1" customWidth="1"/>
    <col min="18" max="18" width="11" bestFit="1" customWidth="1"/>
    <col min="20" max="20" width="11" bestFit="1" customWidth="1"/>
    <col min="22" max="22" width="11.28515625" bestFit="1" customWidth="1"/>
    <col min="23" max="23" width="19.85546875" bestFit="1" customWidth="1"/>
    <col min="24" max="24" width="12.85546875" customWidth="1"/>
    <col min="25" max="28" width="11.7109375" bestFit="1" customWidth="1"/>
    <col min="29" max="29" width="11.28515625" bestFit="1" customWidth="1"/>
    <col min="31" max="31" width="13.42578125" customWidth="1"/>
  </cols>
  <sheetData>
    <row r="1" spans="1:31" x14ac:dyDescent="0.25">
      <c r="A1" s="5" t="s">
        <v>24</v>
      </c>
      <c r="B1" s="5" t="e">
        <f>VLOOKUP(Config!D6,karty!C:U,19,0)</f>
        <v>#N/A</v>
      </c>
      <c r="D1" t="e">
        <f>B1&amp;"_"&amp;B2</f>
        <v>#N/A</v>
      </c>
    </row>
    <row r="2" spans="1:31" x14ac:dyDescent="0.25">
      <c r="A2" s="5" t="s">
        <v>25</v>
      </c>
      <c r="B2" s="5">
        <f>Config!D10</f>
        <v>0</v>
      </c>
    </row>
    <row r="3" spans="1:31" x14ac:dyDescent="0.25">
      <c r="A3" s="5"/>
      <c r="B3" s="5"/>
    </row>
    <row r="4" spans="1:31" x14ac:dyDescent="0.25">
      <c r="A4" s="5"/>
      <c r="B4" s="5"/>
    </row>
    <row r="6" spans="1:31" x14ac:dyDescent="0.25">
      <c r="A6" t="s">
        <v>11</v>
      </c>
      <c r="D6">
        <v>1</v>
      </c>
      <c r="E6">
        <v>2</v>
      </c>
      <c r="F6">
        <v>3</v>
      </c>
      <c r="G6">
        <v>4</v>
      </c>
      <c r="H6">
        <v>5</v>
      </c>
      <c r="I6">
        <v>6</v>
      </c>
      <c r="J6">
        <v>7</v>
      </c>
      <c r="K6">
        <v>8</v>
      </c>
      <c r="L6">
        <v>9</v>
      </c>
      <c r="W6" t="s">
        <v>334</v>
      </c>
      <c r="AD6" t="s">
        <v>333</v>
      </c>
    </row>
    <row r="7" spans="1:31" x14ac:dyDescent="0.25">
      <c r="A7" t="s">
        <v>15</v>
      </c>
      <c r="D7">
        <v>50</v>
      </c>
      <c r="E7">
        <v>100</v>
      </c>
      <c r="F7">
        <v>200</v>
      </c>
      <c r="G7">
        <v>500</v>
      </c>
      <c r="H7">
        <v>1000</v>
      </c>
      <c r="I7">
        <v>2000</v>
      </c>
      <c r="J7">
        <v>3000</v>
      </c>
      <c r="K7">
        <v>5000</v>
      </c>
      <c r="L7">
        <v>10000</v>
      </c>
      <c r="M7" t="s">
        <v>20</v>
      </c>
      <c r="N7" t="s">
        <v>21</v>
      </c>
      <c r="P7" t="s">
        <v>283</v>
      </c>
      <c r="Q7" t="e">
        <f>MATCH(Config!D8,data!$D$7:$L$7)</f>
        <v>#N/A</v>
      </c>
    </row>
    <row r="8" spans="1:31" x14ac:dyDescent="0.25">
      <c r="A8" t="s">
        <v>16</v>
      </c>
      <c r="B8" s="4"/>
      <c r="C8" s="4"/>
      <c r="D8" s="4">
        <v>3.8</v>
      </c>
      <c r="E8" s="4">
        <v>2.95</v>
      </c>
      <c r="F8" s="4">
        <v>2.6</v>
      </c>
      <c r="G8" s="4">
        <v>2.1</v>
      </c>
      <c r="H8" s="4">
        <v>1.75</v>
      </c>
      <c r="I8" s="4">
        <v>1.4</v>
      </c>
      <c r="J8" s="4">
        <v>1.35</v>
      </c>
      <c r="K8" s="4">
        <v>1.1499999999999999</v>
      </c>
      <c r="L8" s="4">
        <v>1.05</v>
      </c>
      <c r="M8" s="4">
        <v>300</v>
      </c>
      <c r="N8" s="4">
        <v>150</v>
      </c>
      <c r="P8" t="s">
        <v>214</v>
      </c>
      <c r="Q8" t="e">
        <f>HLOOKUP($Q$7,$D$6:$L$11,3,0)</f>
        <v>#N/A</v>
      </c>
      <c r="W8" t="s">
        <v>214</v>
      </c>
      <c r="X8" s="4">
        <v>2.6</v>
      </c>
      <c r="AD8" t="s">
        <v>214</v>
      </c>
      <c r="AE8" s="4">
        <v>1.75</v>
      </c>
    </row>
    <row r="9" spans="1:31" x14ac:dyDescent="0.25">
      <c r="A9" t="s">
        <v>17</v>
      </c>
      <c r="B9" s="4"/>
      <c r="C9" s="4"/>
      <c r="D9" s="4">
        <v>6.5</v>
      </c>
      <c r="E9" s="4">
        <v>5</v>
      </c>
      <c r="F9" s="4">
        <v>4.4000000000000004</v>
      </c>
      <c r="G9" s="4">
        <v>3.6</v>
      </c>
      <c r="H9" s="4">
        <v>2.98</v>
      </c>
      <c r="I9" s="4">
        <v>2.2999999999999998</v>
      </c>
      <c r="J9" s="4">
        <v>2.2999999999999998</v>
      </c>
      <c r="K9" s="4">
        <v>2</v>
      </c>
      <c r="L9" s="4">
        <v>1.75</v>
      </c>
      <c r="M9" s="4">
        <v>600</v>
      </c>
      <c r="N9" s="4">
        <v>300</v>
      </c>
      <c r="P9" t="s">
        <v>215</v>
      </c>
      <c r="Q9" t="e">
        <f>HLOOKUP($Q$7,$D$6:$L$11,4,0)</f>
        <v>#N/A</v>
      </c>
      <c r="W9" t="s">
        <v>215</v>
      </c>
      <c r="X9" s="4">
        <v>4.4000000000000004</v>
      </c>
      <c r="AD9" t="s">
        <v>215</v>
      </c>
      <c r="AE9" s="4">
        <v>2.98</v>
      </c>
    </row>
    <row r="10" spans="1:31" x14ac:dyDescent="0.25">
      <c r="A10" t="s">
        <v>18</v>
      </c>
      <c r="B10" s="4"/>
      <c r="C10" s="4"/>
      <c r="D10" s="4">
        <v>7.67</v>
      </c>
      <c r="E10" s="4">
        <v>5.97</v>
      </c>
      <c r="F10" s="4">
        <v>5.24</v>
      </c>
      <c r="G10" s="4">
        <v>4.2</v>
      </c>
      <c r="H10" s="4">
        <v>3.54</v>
      </c>
      <c r="I10" s="4">
        <v>2.7</v>
      </c>
      <c r="J10" s="4">
        <v>2.75</v>
      </c>
      <c r="K10" s="4">
        <v>2.4</v>
      </c>
      <c r="L10" s="4">
        <v>2.15</v>
      </c>
      <c r="M10" s="4">
        <v>900</v>
      </c>
      <c r="N10" s="4">
        <v>450</v>
      </c>
      <c r="P10" t="s">
        <v>216</v>
      </c>
      <c r="Q10" t="e">
        <f>HLOOKUP($Q$7,$D$6:$L$11,5,0)</f>
        <v>#N/A</v>
      </c>
      <c r="W10" t="s">
        <v>216</v>
      </c>
      <c r="X10" s="4">
        <v>5.24</v>
      </c>
      <c r="AD10" t="s">
        <v>216</v>
      </c>
      <c r="AE10" s="4">
        <v>3.54</v>
      </c>
    </row>
    <row r="11" spans="1:31" x14ac:dyDescent="0.25">
      <c r="A11" t="s">
        <v>19</v>
      </c>
      <c r="B11" s="4"/>
      <c r="C11" s="4"/>
      <c r="D11" s="4">
        <v>13.1</v>
      </c>
      <c r="E11" s="4">
        <v>10.1</v>
      </c>
      <c r="F11" s="4">
        <v>8.6</v>
      </c>
      <c r="G11" s="4">
        <v>7.1</v>
      </c>
      <c r="H11" s="4">
        <v>6.07</v>
      </c>
      <c r="I11" s="4">
        <v>4.75</v>
      </c>
      <c r="J11" s="4">
        <v>4.7</v>
      </c>
      <c r="K11" s="4">
        <v>4.05</v>
      </c>
      <c r="L11" s="4">
        <v>3.5</v>
      </c>
      <c r="M11" s="4">
        <v>1200</v>
      </c>
      <c r="N11" s="4">
        <v>600</v>
      </c>
      <c r="P11" t="s">
        <v>217</v>
      </c>
      <c r="Q11" t="e">
        <f>HLOOKUP($Q$7,$D$6:$L$11,6,0)</f>
        <v>#N/A</v>
      </c>
      <c r="W11" t="s">
        <v>217</v>
      </c>
      <c r="X11" s="4">
        <v>8.6</v>
      </c>
      <c r="AD11" t="s">
        <v>217</v>
      </c>
      <c r="AE11" s="4">
        <v>6.07</v>
      </c>
    </row>
    <row r="13" spans="1:31" x14ac:dyDescent="0.25">
      <c r="A13" t="s">
        <v>12</v>
      </c>
      <c r="D13">
        <v>1</v>
      </c>
      <c r="E13">
        <v>2</v>
      </c>
      <c r="F13">
        <v>3</v>
      </c>
      <c r="G13">
        <v>4</v>
      </c>
      <c r="H13">
        <v>5</v>
      </c>
      <c r="I13">
        <v>6</v>
      </c>
      <c r="J13">
        <v>7</v>
      </c>
      <c r="K13">
        <v>8</v>
      </c>
      <c r="L13">
        <v>9</v>
      </c>
    </row>
    <row r="14" spans="1:31" x14ac:dyDescent="0.25">
      <c r="A14" t="s">
        <v>15</v>
      </c>
      <c r="D14">
        <v>50</v>
      </c>
      <c r="E14">
        <v>100</v>
      </c>
      <c r="F14">
        <v>200</v>
      </c>
      <c r="G14">
        <v>500</v>
      </c>
      <c r="H14">
        <v>1000</v>
      </c>
      <c r="I14">
        <v>2000</v>
      </c>
      <c r="J14">
        <v>3000</v>
      </c>
      <c r="K14">
        <v>5000</v>
      </c>
      <c r="L14">
        <v>10000</v>
      </c>
      <c r="M14" t="s">
        <v>20</v>
      </c>
      <c r="N14" t="s">
        <v>21</v>
      </c>
      <c r="P14" t="s">
        <v>283</v>
      </c>
      <c r="Q14" t="e">
        <f>MATCH(Config!D8,data!$D$14:$L$14)</f>
        <v>#N/A</v>
      </c>
    </row>
    <row r="15" spans="1:31" x14ac:dyDescent="0.25">
      <c r="A15" t="s">
        <v>16</v>
      </c>
      <c r="B15" s="4"/>
      <c r="C15" s="4"/>
      <c r="D15" s="22">
        <v>3.9</v>
      </c>
      <c r="E15" s="22">
        <v>3</v>
      </c>
      <c r="F15" s="22">
        <v>2.65</v>
      </c>
      <c r="G15" s="22">
        <v>2.15</v>
      </c>
      <c r="H15" s="22">
        <v>1.79</v>
      </c>
      <c r="I15" s="22">
        <v>1.45</v>
      </c>
      <c r="J15" s="22">
        <v>1.4</v>
      </c>
      <c r="K15" s="22">
        <v>1.2</v>
      </c>
      <c r="L15" s="22">
        <v>1.1000000000000001</v>
      </c>
      <c r="M15" s="4">
        <v>300</v>
      </c>
      <c r="N15" s="4">
        <v>150</v>
      </c>
      <c r="P15" t="s">
        <v>218</v>
      </c>
      <c r="Q15" t="e">
        <f>HLOOKUP(Q14,$D$13:$L$18,3,0)</f>
        <v>#N/A</v>
      </c>
      <c r="W15" t="s">
        <v>218</v>
      </c>
      <c r="X15" s="22">
        <v>2.65</v>
      </c>
      <c r="AD15" t="s">
        <v>218</v>
      </c>
      <c r="AE15" s="22">
        <v>1.79</v>
      </c>
    </row>
    <row r="16" spans="1:31" x14ac:dyDescent="0.25">
      <c r="A16" t="s">
        <v>17</v>
      </c>
      <c r="B16" s="4"/>
      <c r="C16" s="4"/>
      <c r="D16" s="22">
        <v>6.5</v>
      </c>
      <c r="E16" s="22">
        <v>5.0999999999999996</v>
      </c>
      <c r="F16" s="22">
        <v>4.5</v>
      </c>
      <c r="G16" s="22">
        <v>3.59</v>
      </c>
      <c r="H16" s="22">
        <v>3</v>
      </c>
      <c r="I16" s="22">
        <v>2.4500000000000002</v>
      </c>
      <c r="J16" s="22">
        <v>2.4</v>
      </c>
      <c r="K16" s="22">
        <v>2</v>
      </c>
      <c r="L16" s="22">
        <v>1.8</v>
      </c>
      <c r="M16" s="4">
        <v>600</v>
      </c>
      <c r="N16" s="4">
        <v>300</v>
      </c>
      <c r="P16" t="s">
        <v>219</v>
      </c>
      <c r="Q16" t="e">
        <f>HLOOKUP(Q14,$D$13:$L$18,4,0)</f>
        <v>#N/A</v>
      </c>
      <c r="W16" t="s">
        <v>219</v>
      </c>
      <c r="X16" s="22">
        <v>4.5</v>
      </c>
      <c r="AD16" t="s">
        <v>219</v>
      </c>
      <c r="AE16" s="22">
        <v>3</v>
      </c>
    </row>
    <row r="17" spans="1:35" x14ac:dyDescent="0.25">
      <c r="A17" t="s">
        <v>18</v>
      </c>
      <c r="B17" s="4"/>
      <c r="C17" s="4"/>
      <c r="D17" s="22">
        <v>7.82</v>
      </c>
      <c r="E17" s="22">
        <v>6.1</v>
      </c>
      <c r="F17" s="22">
        <v>5.35</v>
      </c>
      <c r="G17" s="22">
        <v>4.4000000000000004</v>
      </c>
      <c r="H17" s="22">
        <v>3.6</v>
      </c>
      <c r="I17" s="22">
        <v>2.95</v>
      </c>
      <c r="J17" s="22">
        <v>2.9</v>
      </c>
      <c r="K17" s="22">
        <v>2.4</v>
      </c>
      <c r="L17" s="22">
        <v>2.2000000000000002</v>
      </c>
      <c r="M17" s="4">
        <v>900</v>
      </c>
      <c r="N17" s="4">
        <v>450</v>
      </c>
      <c r="P17" t="s">
        <v>220</v>
      </c>
      <c r="Q17" t="e">
        <f>HLOOKUP(Q14,$D$13:$L$18,5,0)</f>
        <v>#N/A</v>
      </c>
      <c r="W17" t="s">
        <v>220</v>
      </c>
      <c r="X17" s="22">
        <v>5.35</v>
      </c>
      <c r="AD17" t="s">
        <v>220</v>
      </c>
      <c r="AE17" s="22">
        <v>3.6</v>
      </c>
    </row>
    <row r="18" spans="1:35" x14ac:dyDescent="0.25">
      <c r="A18" t="s">
        <v>19</v>
      </c>
      <c r="B18" s="4"/>
      <c r="C18" s="4"/>
      <c r="D18" s="22">
        <v>13.25</v>
      </c>
      <c r="E18" s="22">
        <v>10.25</v>
      </c>
      <c r="F18" s="22">
        <v>9.02</v>
      </c>
      <c r="G18" s="22">
        <v>7.25</v>
      </c>
      <c r="H18" s="22">
        <v>6.06</v>
      </c>
      <c r="I18" s="22">
        <v>4.9000000000000004</v>
      </c>
      <c r="J18" s="22">
        <v>4.8</v>
      </c>
      <c r="K18" s="22">
        <v>4.1500000000000004</v>
      </c>
      <c r="L18" s="22">
        <v>3.6</v>
      </c>
      <c r="M18" s="4">
        <v>1200</v>
      </c>
      <c r="N18" s="4">
        <v>600</v>
      </c>
      <c r="P18" t="s">
        <v>221</v>
      </c>
      <c r="Q18" t="e">
        <f>HLOOKUP(Q14,$D$13:$L$18,6,0)</f>
        <v>#N/A</v>
      </c>
      <c r="W18" t="s">
        <v>221</v>
      </c>
      <c r="X18" s="22">
        <v>9.02</v>
      </c>
      <c r="AD18" t="s">
        <v>221</v>
      </c>
      <c r="AE18" s="22">
        <v>6.06</v>
      </c>
    </row>
    <row r="20" spans="1:35" x14ac:dyDescent="0.25">
      <c r="P20" t="s">
        <v>26</v>
      </c>
      <c r="Q20" t="e">
        <f>VLOOKUP($D$1,$P$8:$Q$18,2,0)</f>
        <v>#N/A</v>
      </c>
      <c r="W20" t="s">
        <v>26</v>
      </c>
      <c r="X20" t="e">
        <f>VLOOKUP($D$1,$W$8:$X$18,2,0)</f>
        <v>#N/A</v>
      </c>
      <c r="AD20" t="s">
        <v>26</v>
      </c>
      <c r="AE20" t="e">
        <f>VLOOKUP($D$1,$AD$8:$AE$18,2,0)</f>
        <v>#N/A</v>
      </c>
    </row>
    <row r="21" spans="1:35" x14ac:dyDescent="0.25">
      <c r="P21" t="s">
        <v>254</v>
      </c>
      <c r="Q21" s="24">
        <f>B26</f>
        <v>0.2</v>
      </c>
      <c r="W21" t="s">
        <v>254</v>
      </c>
      <c r="X21" s="24">
        <f>B26</f>
        <v>0.2</v>
      </c>
      <c r="AD21" t="s">
        <v>254</v>
      </c>
      <c r="AE21" s="24">
        <f>B26</f>
        <v>0.2</v>
      </c>
    </row>
    <row r="22" spans="1:35" x14ac:dyDescent="0.25">
      <c r="P22" t="s">
        <v>27</v>
      </c>
      <c r="Q22">
        <f>Config!$D$8</f>
        <v>0</v>
      </c>
      <c r="W22" t="s">
        <v>27</v>
      </c>
      <c r="X22">
        <v>200</v>
      </c>
      <c r="AD22" t="s">
        <v>27</v>
      </c>
      <c r="AE22">
        <v>1000</v>
      </c>
    </row>
    <row r="23" spans="1:35" x14ac:dyDescent="0.25">
      <c r="Q23" s="24" t="e">
        <f>(Q20+Q21)*Q22</f>
        <v>#N/A</v>
      </c>
      <c r="X23" s="24" t="e">
        <f>(X20+X21)*X22</f>
        <v>#N/A</v>
      </c>
      <c r="AE23" s="24" t="e">
        <f>(AE20+AE21)*AE22</f>
        <v>#N/A</v>
      </c>
    </row>
    <row r="24" spans="1:35" x14ac:dyDescent="0.25">
      <c r="I24" t="s">
        <v>577</v>
      </c>
      <c r="P24" t="s">
        <v>28</v>
      </c>
      <c r="Q24">
        <f>300*B2</f>
        <v>0</v>
      </c>
      <c r="W24" t="s">
        <v>28</v>
      </c>
      <c r="X24">
        <f>300*B2</f>
        <v>0</v>
      </c>
      <c r="AD24" t="s">
        <v>28</v>
      </c>
      <c r="AE24">
        <f>300*B2</f>
        <v>0</v>
      </c>
    </row>
    <row r="25" spans="1:35" x14ac:dyDescent="0.25">
      <c r="I25" s="59" t="str">
        <f>IF(Config!D9=překlady!B13,B28*B2,IF(Config!D9=překlady!B14,300*B2,"nepočítá"))</f>
        <v>nepočítá</v>
      </c>
      <c r="P25" t="s">
        <v>34</v>
      </c>
      <c r="Q25">
        <v>250</v>
      </c>
      <c r="W25" t="s">
        <v>34</v>
      </c>
      <c r="X25">
        <v>250</v>
      </c>
      <c r="AD25" t="s">
        <v>34</v>
      </c>
      <c r="AE25">
        <v>250</v>
      </c>
    </row>
    <row r="26" spans="1:35" x14ac:dyDescent="0.25">
      <c r="A26" t="s">
        <v>253</v>
      </c>
      <c r="B26" s="23">
        <v>0.2</v>
      </c>
      <c r="I26" t="s">
        <v>578</v>
      </c>
      <c r="P26" t="s">
        <v>35</v>
      </c>
      <c r="Q26" t="e">
        <f>IF(Q24="nepočítá","",SUM(Q23:Q25))</f>
        <v>#N/A</v>
      </c>
      <c r="W26" t="s">
        <v>35</v>
      </c>
      <c r="X26" t="e">
        <f>IF(X24="nepočítá","",SUM(X23:X25))</f>
        <v>#N/A</v>
      </c>
      <c r="AD26" t="s">
        <v>35</v>
      </c>
      <c r="AE26" t="e">
        <f>IF(AE24="nepočítá","",SUM(AE23:AE25))</f>
        <v>#N/A</v>
      </c>
    </row>
    <row r="27" spans="1:35" x14ac:dyDescent="0.25">
      <c r="A27" t="s">
        <v>22</v>
      </c>
      <c r="B27" s="23">
        <v>250</v>
      </c>
      <c r="I27" s="59" t="e">
        <f>IF((VLOOKUP(Config!D9,překlady!B13:O14,14,0))="ano",0,250)</f>
        <v>#N/A</v>
      </c>
      <c r="P27" t="s">
        <v>36</v>
      </c>
      <c r="Q27" t="e">
        <f>Q26*1.4</f>
        <v>#N/A</v>
      </c>
      <c r="R27" t="e">
        <f>Q26/24.5*1.4</f>
        <v>#N/A</v>
      </c>
      <c r="S27" t="e">
        <f>Q26/6*1.4</f>
        <v>#N/A</v>
      </c>
      <c r="T27" t="e">
        <f>Q26/0.062*1.4</f>
        <v>#N/A</v>
      </c>
      <c r="U27" t="e">
        <f>Q26/24.5*1.4</f>
        <v>#N/A</v>
      </c>
      <c r="V27" t="e">
        <f>Q26/24.5*1.4</f>
        <v>#N/A</v>
      </c>
      <c r="W27" t="s">
        <v>36</v>
      </c>
      <c r="X27" s="2" t="e">
        <f>X26*1.4</f>
        <v>#N/A</v>
      </c>
      <c r="Y27" s="2" t="e">
        <f>X26/24.5*1.4</f>
        <v>#N/A</v>
      </c>
      <c r="Z27" s="2" t="e">
        <f>X26/6*1.4</f>
        <v>#N/A</v>
      </c>
      <c r="AA27" s="2" t="e">
        <f>X26/0.062*1.4</f>
        <v>#N/A</v>
      </c>
      <c r="AB27" s="2" t="e">
        <f>X26/24.5*1.4</f>
        <v>#N/A</v>
      </c>
      <c r="AC27" t="e">
        <f>X26/24.5*1.4</f>
        <v>#N/A</v>
      </c>
      <c r="AD27" t="s">
        <v>36</v>
      </c>
      <c r="AE27" t="e">
        <f>AE26*1.4</f>
        <v>#N/A</v>
      </c>
      <c r="AF27" t="e">
        <f>AE26/24.5*1.4</f>
        <v>#N/A</v>
      </c>
      <c r="AG27" t="e">
        <f>AE26/6*1.4</f>
        <v>#N/A</v>
      </c>
      <c r="AH27" t="e">
        <f>AE26/0.062*1.4</f>
        <v>#N/A</v>
      </c>
      <c r="AI27" t="e">
        <f>AE26/24.5*1.4</f>
        <v>#N/A</v>
      </c>
    </row>
    <row r="28" spans="1:35" x14ac:dyDescent="0.25">
      <c r="A28" t="s">
        <v>23</v>
      </c>
      <c r="B28" s="23">
        <v>150</v>
      </c>
      <c r="Q28" t="s">
        <v>37</v>
      </c>
      <c r="R28" t="s">
        <v>412</v>
      </c>
      <c r="S28" t="s">
        <v>413</v>
      </c>
      <c r="T28" t="s">
        <v>414</v>
      </c>
      <c r="U28" t="s">
        <v>412</v>
      </c>
      <c r="V28" t="s">
        <v>412</v>
      </c>
      <c r="X28" t="s">
        <v>37</v>
      </c>
      <c r="Y28" t="s">
        <v>412</v>
      </c>
      <c r="Z28" t="s">
        <v>413</v>
      </c>
      <c r="AA28" t="s">
        <v>414</v>
      </c>
      <c r="AB28" t="s">
        <v>4</v>
      </c>
      <c r="AE28" t="s">
        <v>37</v>
      </c>
      <c r="AF28" t="s">
        <v>412</v>
      </c>
      <c r="AG28" t="s">
        <v>413</v>
      </c>
      <c r="AH28" t="s">
        <v>414</v>
      </c>
      <c r="AI28" t="s">
        <v>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3857-CD98-416D-B4C2-417145BC0769}">
  <sheetPr codeName="List5"/>
  <dimension ref="A1:Z45"/>
  <sheetViews>
    <sheetView topLeftCell="A4" workbookViewId="0">
      <selection activeCell="W24" sqref="W24:W26"/>
    </sheetView>
  </sheetViews>
  <sheetFormatPr defaultRowHeight="15" x14ac:dyDescent="0.25"/>
  <cols>
    <col min="3" max="3" width="66" customWidth="1"/>
    <col min="4" max="4" width="10.85546875" customWidth="1"/>
    <col min="5" max="5" width="57.42578125" customWidth="1"/>
    <col min="6" max="8" width="9.140625" customWidth="1"/>
    <col min="9" max="9" width="17" customWidth="1"/>
    <col min="11" max="11" width="18.28515625" bestFit="1" customWidth="1"/>
    <col min="13" max="15" width="18.28515625" bestFit="1" customWidth="1"/>
    <col min="16" max="16" width="11.7109375" customWidth="1"/>
    <col min="18" max="18" width="16.42578125" customWidth="1"/>
    <col min="21" max="21" width="10.7109375" customWidth="1"/>
  </cols>
  <sheetData>
    <row r="1" spans="1:26" x14ac:dyDescent="0.25">
      <c r="F1">
        <f>překlady!D1</f>
        <v>1</v>
      </c>
      <c r="J1" t="s">
        <v>327</v>
      </c>
      <c r="K1" t="s">
        <v>54</v>
      </c>
      <c r="L1" s="28">
        <v>0.5</v>
      </c>
    </row>
    <row r="2" spans="1:26" x14ac:dyDescent="0.25">
      <c r="K2" t="s">
        <v>326</v>
      </c>
      <c r="L2" s="28">
        <v>0.2</v>
      </c>
    </row>
    <row r="5" spans="1:26" x14ac:dyDescent="0.25">
      <c r="K5" s="85"/>
    </row>
    <row r="6" spans="1:26" x14ac:dyDescent="0.25">
      <c r="K6" s="85"/>
    </row>
    <row r="7" spans="1:26" x14ac:dyDescent="0.25">
      <c r="W7" s="86" t="s">
        <v>282</v>
      </c>
      <c r="X7" s="86"/>
      <c r="Y7" s="87" t="s">
        <v>323</v>
      </c>
      <c r="Z7" s="87"/>
    </row>
    <row r="8" spans="1:26" x14ac:dyDescent="0.25">
      <c r="E8" t="s">
        <v>0</v>
      </c>
      <c r="F8" t="s">
        <v>1</v>
      </c>
      <c r="G8" t="s">
        <v>2</v>
      </c>
      <c r="H8" t="s">
        <v>3</v>
      </c>
      <c r="I8" t="s">
        <v>4</v>
      </c>
      <c r="K8" t="s">
        <v>0</v>
      </c>
      <c r="L8" t="s">
        <v>1</v>
      </c>
      <c r="M8" t="s">
        <v>2</v>
      </c>
      <c r="N8" t="s">
        <v>3</v>
      </c>
      <c r="O8" t="s">
        <v>4</v>
      </c>
      <c r="P8" t="s">
        <v>325</v>
      </c>
      <c r="S8" t="s">
        <v>38</v>
      </c>
      <c r="T8" t="s">
        <v>40</v>
      </c>
      <c r="U8" t="s">
        <v>41</v>
      </c>
      <c r="V8" t="s">
        <v>274</v>
      </c>
      <c r="W8" s="86"/>
      <c r="X8" s="86"/>
      <c r="Y8" s="87"/>
      <c r="Z8" s="87"/>
    </row>
    <row r="9" spans="1:26" x14ac:dyDescent="0.25">
      <c r="A9" t="str">
        <f t="shared" ref="A9:A17" si="0">CONCATENATE(S9,"_",T9)</f>
        <v>Strong_Z</v>
      </c>
      <c r="B9">
        <v>363033</v>
      </c>
      <c r="C9" t="str">
        <f>CONCATENATE(B9," ",(IF($F$1=1,E9,IF($F$1=2,F9,IF($F$1=3,G9,IF($F$1=4,H9,IF(OR($F$1=5,$F$1=6),I9)))))))</f>
        <v>363033 StrongBox krytka pro tisk bílá - kus</v>
      </c>
      <c r="D9">
        <v>363033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>
        <f>IF($F$1=1,K9,IF($F$1=2,L9,IF($F$1=3,M9,IF($F$1=4,N9,O9))))</f>
        <v>1.23</v>
      </c>
      <c r="K9">
        <v>1.23</v>
      </c>
      <c r="L9">
        <v>5.704E-2</v>
      </c>
      <c r="M9">
        <v>0.24414</v>
      </c>
      <c r="N9">
        <v>19.848549999999999</v>
      </c>
      <c r="O9">
        <v>5.1090000000000003E-2</v>
      </c>
      <c r="P9" s="6">
        <f>J9*(1+$L$1)</f>
        <v>1.845</v>
      </c>
      <c r="Q9" s="6"/>
      <c r="R9" t="s">
        <v>50</v>
      </c>
      <c r="S9" s="7" t="s">
        <v>54</v>
      </c>
      <c r="T9" t="s">
        <v>55</v>
      </c>
      <c r="U9" t="s">
        <v>11</v>
      </c>
      <c r="Y9" t="s">
        <v>284</v>
      </c>
    </row>
    <row r="10" spans="1:26" x14ac:dyDescent="0.25">
      <c r="A10" t="str">
        <f t="shared" si="0"/>
        <v>Strong_Z</v>
      </c>
      <c r="B10">
        <v>363035</v>
      </c>
      <c r="C10" t="str">
        <f t="shared" ref="C10:C39" si="1">CONCATENATE(B10," ",(IF($F$1=1,E10,IF($F$1=2,F10,IF($F$1=3,G10,IF($F$1=4,H10,IF(OR($F$1=5,$F$1=6),I10)))))))</f>
        <v>363035 StrongBox Krytka pro tisk šedá - kus</v>
      </c>
      <c r="D10">
        <v>363035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>
        <f t="shared" ref="J10:J39" si="2">IF($F$1=1,K10,IF($F$1=2,L10,IF($F$1=3,M10,IF($F$1=4,N10,O10))))</f>
        <v>1.23</v>
      </c>
      <c r="K10">
        <v>1.23</v>
      </c>
      <c r="L10">
        <v>5.704E-2</v>
      </c>
      <c r="M10">
        <v>0.24414</v>
      </c>
      <c r="N10">
        <v>19.848549999999999</v>
      </c>
      <c r="O10">
        <v>5.1090000000000003E-2</v>
      </c>
      <c r="P10" s="6">
        <f t="shared" ref="P10:P17" si="3">J10*(1+$L$1)</f>
        <v>1.845</v>
      </c>
      <c r="Q10" s="6"/>
      <c r="R10" t="s">
        <v>50</v>
      </c>
      <c r="S10" s="7" t="s">
        <v>54</v>
      </c>
      <c r="T10" t="s">
        <v>55</v>
      </c>
      <c r="U10" t="s">
        <v>11</v>
      </c>
      <c r="Y10" t="s">
        <v>285</v>
      </c>
    </row>
    <row r="11" spans="1:26" x14ac:dyDescent="0.25">
      <c r="A11" t="str">
        <f t="shared" si="0"/>
        <v>Strong_Z</v>
      </c>
      <c r="B11">
        <v>363034</v>
      </c>
      <c r="C11" t="str">
        <f t="shared" si="1"/>
        <v>363034 StrongMax 16/18 krytka pro tisk plast, bílá</v>
      </c>
      <c r="D11">
        <v>363034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>
        <f t="shared" si="2"/>
        <v>1.25057</v>
      </c>
      <c r="K11">
        <v>1.25057</v>
      </c>
      <c r="L11">
        <v>5.704E-2</v>
      </c>
      <c r="M11">
        <v>0.24657999999999999</v>
      </c>
      <c r="N11">
        <v>20.170480000000001</v>
      </c>
      <c r="O11">
        <v>4.8419999999999998E-2</v>
      </c>
      <c r="P11" s="6">
        <f t="shared" si="3"/>
        <v>1.8758550000000001</v>
      </c>
      <c r="Q11" s="6"/>
      <c r="R11" t="s">
        <v>50</v>
      </c>
      <c r="S11" s="7" t="s">
        <v>54</v>
      </c>
      <c r="T11" t="s">
        <v>55</v>
      </c>
      <c r="U11" t="s">
        <v>11</v>
      </c>
      <c r="W11">
        <v>2</v>
      </c>
      <c r="Y11" t="s">
        <v>286</v>
      </c>
    </row>
    <row r="12" spans="1:26" x14ac:dyDescent="0.25">
      <c r="A12" t="str">
        <f t="shared" si="0"/>
        <v>Strong_Z</v>
      </c>
      <c r="B12">
        <v>363036</v>
      </c>
      <c r="C12" t="str">
        <f t="shared" si="1"/>
        <v>363036 StrongMax 16/18 krytka pro tisk plast, šedá</v>
      </c>
      <c r="D12">
        <v>363036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>
        <f t="shared" si="2"/>
        <v>1.25057</v>
      </c>
      <c r="K12">
        <v>1.25057</v>
      </c>
      <c r="L12">
        <v>5.704E-2</v>
      </c>
      <c r="M12">
        <v>0.24657999999999999</v>
      </c>
      <c r="N12">
        <v>20.170480000000001</v>
      </c>
      <c r="O12">
        <v>4.8419999999999998E-2</v>
      </c>
      <c r="P12" s="6">
        <f t="shared" si="3"/>
        <v>1.8758550000000001</v>
      </c>
      <c r="Q12" s="6"/>
      <c r="R12" t="s">
        <v>50</v>
      </c>
      <c r="S12" s="7" t="s">
        <v>54</v>
      </c>
      <c r="T12" t="s">
        <v>55</v>
      </c>
      <c r="U12" t="s">
        <v>11</v>
      </c>
      <c r="W12">
        <v>2</v>
      </c>
      <c r="Y12" t="s">
        <v>287</v>
      </c>
    </row>
    <row r="13" spans="1:26" x14ac:dyDescent="0.25">
      <c r="A13" t="str">
        <f t="shared" si="0"/>
        <v>Strong_Z</v>
      </c>
      <c r="B13">
        <v>400403</v>
      </c>
      <c r="C13" t="str">
        <f t="shared" si="1"/>
        <v>400403 StrongMax 16/18 krytka pro tisk plast, černá</v>
      </c>
      <c r="D13">
        <v>400403</v>
      </c>
      <c r="E13" t="s">
        <v>79</v>
      </c>
      <c r="F13" t="s">
        <v>80</v>
      </c>
      <c r="G13" t="s">
        <v>81</v>
      </c>
      <c r="H13" t="s">
        <v>82</v>
      </c>
      <c r="I13" t="s">
        <v>83</v>
      </c>
      <c r="J13">
        <f t="shared" si="2"/>
        <v>1.25057</v>
      </c>
      <c r="K13">
        <v>1.25057</v>
      </c>
      <c r="L13">
        <v>5.7610000000000001E-2</v>
      </c>
      <c r="M13">
        <v>0.24657999999999999</v>
      </c>
      <c r="N13">
        <v>20.170480000000001</v>
      </c>
      <c r="O13">
        <v>5.1249999999999997E-2</v>
      </c>
      <c r="P13" s="6">
        <f t="shared" si="3"/>
        <v>1.8758550000000001</v>
      </c>
      <c r="Q13" s="6"/>
      <c r="R13" t="s">
        <v>50</v>
      </c>
      <c r="S13" s="7" t="s">
        <v>54</v>
      </c>
      <c r="T13" t="s">
        <v>55</v>
      </c>
      <c r="U13" t="s">
        <v>11</v>
      </c>
      <c r="W13">
        <v>2</v>
      </c>
      <c r="Y13" t="s">
        <v>288</v>
      </c>
    </row>
    <row r="14" spans="1:26" x14ac:dyDescent="0.25">
      <c r="A14" t="str">
        <f t="shared" si="0"/>
        <v>Strong_P</v>
      </c>
      <c r="B14">
        <v>350866</v>
      </c>
      <c r="C14" t="str">
        <f t="shared" si="1"/>
        <v>350866 StrongHinges S3 krytka ramínka naloženého závěsu</v>
      </c>
      <c r="D14">
        <v>350866</v>
      </c>
      <c r="E14" t="s">
        <v>84</v>
      </c>
      <c r="F14" t="s">
        <v>85</v>
      </c>
      <c r="G14" t="s">
        <v>86</v>
      </c>
      <c r="H14" t="s">
        <v>87</v>
      </c>
      <c r="I14" t="s">
        <v>88</v>
      </c>
      <c r="J14">
        <f t="shared" si="2"/>
        <v>0.34133999999999998</v>
      </c>
      <c r="K14">
        <v>0.34133999999999998</v>
      </c>
      <c r="L14">
        <v>1.49E-2</v>
      </c>
      <c r="M14">
        <v>6.3780000000000003E-2</v>
      </c>
      <c r="N14">
        <v>5.5054800000000004</v>
      </c>
      <c r="O14">
        <v>1.3990000000000001E-2</v>
      </c>
      <c r="P14" s="6">
        <f t="shared" si="3"/>
        <v>0.51200999999999997</v>
      </c>
      <c r="Q14" s="6"/>
      <c r="R14" t="s">
        <v>50</v>
      </c>
      <c r="S14" s="7" t="s">
        <v>54</v>
      </c>
      <c r="T14" t="s">
        <v>56</v>
      </c>
      <c r="U14" t="s">
        <v>12</v>
      </c>
      <c r="W14">
        <v>2</v>
      </c>
      <c r="Y14" t="s">
        <v>289</v>
      </c>
    </row>
    <row r="15" spans="1:26" x14ac:dyDescent="0.25">
      <c r="A15" t="str">
        <f t="shared" si="0"/>
        <v>Strong_P</v>
      </c>
      <c r="B15">
        <v>350867</v>
      </c>
      <c r="C15" t="str">
        <f t="shared" si="1"/>
        <v>350867 StrongHinges S3 krytka ramínka polonaloženého a vloženého závěsu</v>
      </c>
      <c r="D15">
        <v>350867</v>
      </c>
      <c r="E15" t="s">
        <v>89</v>
      </c>
      <c r="F15" t="s">
        <v>90</v>
      </c>
      <c r="G15" t="s">
        <v>91</v>
      </c>
      <c r="H15" t="s">
        <v>92</v>
      </c>
      <c r="I15" t="s">
        <v>93</v>
      </c>
      <c r="J15">
        <f t="shared" si="2"/>
        <v>0.34133999999999998</v>
      </c>
      <c r="K15">
        <v>0.34133999999999998</v>
      </c>
      <c r="L15">
        <v>1.49E-2</v>
      </c>
      <c r="M15">
        <v>6.3780000000000003E-2</v>
      </c>
      <c r="N15">
        <v>5.5054800000000004</v>
      </c>
      <c r="O15">
        <v>1.3990000000000001E-2</v>
      </c>
      <c r="P15" s="6">
        <f t="shared" si="3"/>
        <v>0.51200999999999997</v>
      </c>
      <c r="Q15" s="6"/>
      <c r="R15" t="s">
        <v>50</v>
      </c>
      <c r="S15" s="7" t="s">
        <v>54</v>
      </c>
      <c r="T15" t="s">
        <v>56</v>
      </c>
      <c r="U15" t="s">
        <v>12</v>
      </c>
      <c r="W15">
        <v>2</v>
      </c>
      <c r="Y15" t="s">
        <v>290</v>
      </c>
    </row>
    <row r="16" spans="1:26" x14ac:dyDescent="0.25">
      <c r="A16" t="str">
        <f t="shared" si="0"/>
        <v>Strong_P</v>
      </c>
      <c r="B16" t="s">
        <v>57</v>
      </c>
      <c r="C16" t="str">
        <f t="shared" si="1"/>
        <v>92597T StrongHinges S5 krytka ramínka tlumených závěsů</v>
      </c>
      <c r="D16" t="s">
        <v>57</v>
      </c>
      <c r="E16" t="s">
        <v>94</v>
      </c>
      <c r="F16" t="s">
        <v>95</v>
      </c>
      <c r="G16" t="s">
        <v>96</v>
      </c>
      <c r="H16" t="s">
        <v>97</v>
      </c>
      <c r="I16" t="s">
        <v>98</v>
      </c>
      <c r="J16">
        <f t="shared" si="2"/>
        <v>0.18354999999999999</v>
      </c>
      <c r="K16">
        <v>0.18354999999999999</v>
      </c>
      <c r="L16">
        <v>8.0199999999999994E-3</v>
      </c>
      <c r="M16">
        <v>3.4320000000000003E-2</v>
      </c>
      <c r="N16">
        <v>2.96048</v>
      </c>
      <c r="O16">
        <v>7.5199999999999998E-3</v>
      </c>
      <c r="P16" s="6">
        <f t="shared" si="3"/>
        <v>0.27532499999999999</v>
      </c>
      <c r="Q16" s="6"/>
      <c r="R16" t="s">
        <v>50</v>
      </c>
      <c r="S16" s="7" t="s">
        <v>54</v>
      </c>
      <c r="T16" t="s">
        <v>56</v>
      </c>
      <c r="U16" t="s">
        <v>12</v>
      </c>
      <c r="W16">
        <v>2</v>
      </c>
      <c r="Y16" t="s">
        <v>291</v>
      </c>
    </row>
    <row r="17" spans="1:25" x14ac:dyDescent="0.25">
      <c r="A17" t="str">
        <f t="shared" si="0"/>
        <v>Strong_P</v>
      </c>
      <c r="B17" t="s">
        <v>257</v>
      </c>
      <c r="C17" t="str">
        <f t="shared" si="1"/>
        <v>92596T StrongHinges S5 krytka misky</v>
      </c>
      <c r="D17" t="s">
        <v>257</v>
      </c>
      <c r="E17" t="s">
        <v>280</v>
      </c>
      <c r="F17" t="s">
        <v>258</v>
      </c>
      <c r="G17" t="s">
        <v>259</v>
      </c>
      <c r="H17" t="s">
        <v>260</v>
      </c>
      <c r="I17" t="s">
        <v>261</v>
      </c>
      <c r="J17">
        <f t="shared" si="2"/>
        <v>0.41298000000000001</v>
      </c>
      <c r="K17">
        <v>0.41298000000000001</v>
      </c>
      <c r="L17">
        <v>1.804E-2</v>
      </c>
      <c r="M17">
        <v>7.7210000000000001E-2</v>
      </c>
      <c r="N17">
        <v>6.6609699999999998</v>
      </c>
      <c r="O17">
        <v>1.6930000000000001E-2</v>
      </c>
      <c r="P17" s="6">
        <f t="shared" si="3"/>
        <v>0.61946999999999997</v>
      </c>
      <c r="R17" t="s">
        <v>50</v>
      </c>
      <c r="S17" s="7" t="s">
        <v>54</v>
      </c>
      <c r="T17" t="s">
        <v>56</v>
      </c>
      <c r="U17" t="s">
        <v>12</v>
      </c>
      <c r="Y17" t="s">
        <v>292</v>
      </c>
    </row>
    <row r="18" spans="1:25" x14ac:dyDescent="0.25">
      <c r="A18" t="str">
        <f t="shared" ref="A18:A27" si="4">CONCATENATE(S18,"_",T18)</f>
        <v>Blum_Z</v>
      </c>
      <c r="B18">
        <v>486181</v>
      </c>
      <c r="C18" t="str">
        <f t="shared" si="1"/>
        <v>486181 BLUM ABD.1009 vnější krytka Merivobox / Aventos top pro potisk, broušená nerez</v>
      </c>
      <c r="D18">
        <v>486181</v>
      </c>
      <c r="E18" t="s">
        <v>122</v>
      </c>
      <c r="F18" t="s">
        <v>123</v>
      </c>
      <c r="G18" t="s">
        <v>124</v>
      </c>
      <c r="H18" t="s">
        <v>125</v>
      </c>
      <c r="I18" t="s">
        <v>126</v>
      </c>
      <c r="J18">
        <f t="shared" si="2"/>
        <v>8.5234100000000002</v>
      </c>
      <c r="K18" s="8">
        <v>8.5234100000000002</v>
      </c>
      <c r="L18">
        <v>0.36329</v>
      </c>
      <c r="M18">
        <v>1.55515</v>
      </c>
      <c r="N18">
        <v>137.47435999999999</v>
      </c>
      <c r="O18">
        <v>0.34932000000000002</v>
      </c>
      <c r="P18" s="6">
        <f>J18*(1+$L$2)</f>
        <v>10.228092</v>
      </c>
      <c r="Q18" s="6"/>
      <c r="R18" t="s">
        <v>50</v>
      </c>
      <c r="S18" s="7" t="s">
        <v>39</v>
      </c>
      <c r="T18" t="s">
        <v>55</v>
      </c>
      <c r="U18" t="s">
        <v>11</v>
      </c>
      <c r="W18">
        <v>2</v>
      </c>
      <c r="Y18" t="s">
        <v>298</v>
      </c>
    </row>
    <row r="19" spans="1:25" x14ac:dyDescent="0.25">
      <c r="A19" t="str">
        <f t="shared" si="4"/>
        <v>Blum_Z</v>
      </c>
      <c r="B19" t="s">
        <v>58</v>
      </c>
      <c r="C19" t="str">
        <f t="shared" si="1"/>
        <v>IN800B BLUM ZAA.532C krytka Antaro bez loga plast bílá</v>
      </c>
      <c r="D19" t="s">
        <v>58</v>
      </c>
      <c r="E19" t="s">
        <v>141</v>
      </c>
      <c r="F19" t="s">
        <v>142</v>
      </c>
      <c r="G19" t="s">
        <v>143</v>
      </c>
      <c r="H19" t="s">
        <v>144</v>
      </c>
      <c r="I19" t="s">
        <v>145</v>
      </c>
      <c r="J19">
        <f t="shared" si="2"/>
        <v>1.45814</v>
      </c>
      <c r="K19" s="8">
        <v>1.45814</v>
      </c>
      <c r="L19">
        <v>6.2149999999999997E-2</v>
      </c>
      <c r="M19">
        <v>0.26605000000000001</v>
      </c>
      <c r="N19">
        <v>23.51839</v>
      </c>
      <c r="O19">
        <v>5.9760000000000001E-2</v>
      </c>
      <c r="P19" s="6">
        <f t="shared" ref="P19:P39" si="5">J19*(1+$L$2)</f>
        <v>1.749768</v>
      </c>
      <c r="Q19" s="6"/>
      <c r="R19" t="s">
        <v>50</v>
      </c>
      <c r="S19" s="7" t="s">
        <v>39</v>
      </c>
      <c r="T19" t="s">
        <v>55</v>
      </c>
      <c r="U19" t="s">
        <v>11</v>
      </c>
      <c r="Y19" t="s">
        <v>302</v>
      </c>
    </row>
    <row r="20" spans="1:25" x14ac:dyDescent="0.25">
      <c r="A20" t="str">
        <f t="shared" si="4"/>
        <v>Blum_Z</v>
      </c>
      <c r="B20">
        <v>236213</v>
      </c>
      <c r="C20" t="str">
        <f t="shared" si="1"/>
        <v>236213 BLUM ZAA.532C krytka Antaro bez loga plast šedá</v>
      </c>
      <c r="D20">
        <v>236213</v>
      </c>
      <c r="E20" t="s">
        <v>146</v>
      </c>
      <c r="F20" t="s">
        <v>146</v>
      </c>
      <c r="G20" t="s">
        <v>147</v>
      </c>
      <c r="H20" t="s">
        <v>148</v>
      </c>
      <c r="I20" t="s">
        <v>149</v>
      </c>
      <c r="J20">
        <f t="shared" si="2"/>
        <v>1.45814</v>
      </c>
      <c r="K20" s="8">
        <v>1.45814</v>
      </c>
      <c r="L20">
        <v>6.2149999999999997E-2</v>
      </c>
      <c r="M20">
        <v>0.26605000000000001</v>
      </c>
      <c r="N20">
        <v>23.51839</v>
      </c>
      <c r="O20">
        <v>5.9760000000000001E-2</v>
      </c>
      <c r="P20" s="6">
        <f t="shared" si="5"/>
        <v>1.749768</v>
      </c>
      <c r="Q20" s="6"/>
      <c r="R20" t="s">
        <v>50</v>
      </c>
      <c r="S20" s="7" t="s">
        <v>39</v>
      </c>
      <c r="T20" t="s">
        <v>55</v>
      </c>
      <c r="U20" t="s">
        <v>11</v>
      </c>
      <c r="Y20" t="s">
        <v>303</v>
      </c>
    </row>
    <row r="21" spans="1:25" x14ac:dyDescent="0.25">
      <c r="A21" t="str">
        <f t="shared" si="4"/>
        <v>Blum_Z</v>
      </c>
      <c r="B21" s="54">
        <v>507277</v>
      </c>
      <c r="C21" t="str">
        <f t="shared" si="1"/>
        <v>507277 BLUM ZA7.0700 vnější krytka Legrabox na potisk karbon černá CS-M</v>
      </c>
      <c r="D21" s="54">
        <v>507277</v>
      </c>
      <c r="E21" s="55" t="s">
        <v>118</v>
      </c>
      <c r="F21" s="55" t="s">
        <v>119</v>
      </c>
      <c r="G21" s="55" t="s">
        <v>508</v>
      </c>
      <c r="H21" s="55" t="s">
        <v>120</v>
      </c>
      <c r="I21" s="55" t="s">
        <v>121</v>
      </c>
      <c r="J21">
        <f t="shared" si="2"/>
        <v>1.90784</v>
      </c>
      <c r="K21" s="8">
        <v>1.90784</v>
      </c>
      <c r="L21">
        <v>8.1320000000000003E-2</v>
      </c>
      <c r="M21">
        <v>0.34810000000000002</v>
      </c>
      <c r="N21">
        <v>30.771609999999999</v>
      </c>
      <c r="O21">
        <v>7.8189999999999996E-2</v>
      </c>
      <c r="P21" s="6">
        <f t="shared" si="5"/>
        <v>2.2894079999999999</v>
      </c>
      <c r="Q21" s="6"/>
      <c r="R21" t="s">
        <v>50</v>
      </c>
      <c r="S21" s="7" t="s">
        <v>39</v>
      </c>
      <c r="T21" t="s">
        <v>55</v>
      </c>
      <c r="U21" t="s">
        <v>11</v>
      </c>
      <c r="W21">
        <v>2</v>
      </c>
      <c r="Y21" t="s">
        <v>297</v>
      </c>
    </row>
    <row r="22" spans="1:25" x14ac:dyDescent="0.25">
      <c r="A22" t="str">
        <f t="shared" si="4"/>
        <v>Blum_Z</v>
      </c>
      <c r="B22" s="54">
        <v>372347</v>
      </c>
      <c r="C22" t="str">
        <f t="shared" si="1"/>
        <v>372347 BLUM ZA7.0700 vnější krytka Legrabox na potisk bílá SW-M</v>
      </c>
      <c r="D22" s="54">
        <v>372347</v>
      </c>
      <c r="E22" s="55" t="s">
        <v>99</v>
      </c>
      <c r="F22" s="55" t="s">
        <v>100</v>
      </c>
      <c r="G22" s="55" t="s">
        <v>509</v>
      </c>
      <c r="H22" s="55" t="s">
        <v>102</v>
      </c>
      <c r="I22" s="55" t="s">
        <v>103</v>
      </c>
      <c r="J22">
        <f t="shared" si="2"/>
        <v>1.5791500000000001</v>
      </c>
      <c r="K22" s="8">
        <v>1.5791500000000001</v>
      </c>
      <c r="L22">
        <v>6.7180000000000004E-2</v>
      </c>
      <c r="M22">
        <v>0.28760000000000002</v>
      </c>
      <c r="N22">
        <v>25.42323</v>
      </c>
      <c r="O22">
        <v>6.4600000000000005E-2</v>
      </c>
      <c r="P22" s="6">
        <f t="shared" si="5"/>
        <v>1.8949799999999999</v>
      </c>
      <c r="Q22" s="6"/>
      <c r="R22" t="s">
        <v>50</v>
      </c>
      <c r="S22" s="7" t="s">
        <v>39</v>
      </c>
      <c r="T22" t="s">
        <v>55</v>
      </c>
      <c r="U22" t="s">
        <v>11</v>
      </c>
      <c r="W22">
        <v>2</v>
      </c>
      <c r="Y22" t="s">
        <v>293</v>
      </c>
    </row>
    <row r="23" spans="1:25" x14ac:dyDescent="0.25">
      <c r="A23" t="str">
        <f t="shared" si="4"/>
        <v>Blum_Z</v>
      </c>
      <c r="B23" s="54">
        <v>342261</v>
      </c>
      <c r="C23" t="str">
        <f t="shared" si="1"/>
        <v>342261 BLUM ZA7.0700 vnější krytka Legrabox na potisk šedá OG-M</v>
      </c>
      <c r="D23" s="54">
        <v>342261</v>
      </c>
      <c r="E23" s="55" t="s">
        <v>104</v>
      </c>
      <c r="F23" s="55" t="s">
        <v>105</v>
      </c>
      <c r="G23" s="55" t="s">
        <v>507</v>
      </c>
      <c r="H23" s="55" t="s">
        <v>107</v>
      </c>
      <c r="I23" s="55" t="s">
        <v>108</v>
      </c>
      <c r="J23">
        <f t="shared" si="2"/>
        <v>1.5762400000000001</v>
      </c>
      <c r="K23" s="8">
        <v>1.5762400000000001</v>
      </c>
      <c r="L23">
        <v>6.7180000000000004E-2</v>
      </c>
      <c r="M23">
        <v>0.28760000000000002</v>
      </c>
      <c r="N23">
        <v>25.42323</v>
      </c>
      <c r="O23">
        <v>6.4600000000000005E-2</v>
      </c>
      <c r="P23" s="6">
        <f t="shared" si="5"/>
        <v>1.8914880000000001</v>
      </c>
      <c r="Q23" s="6"/>
      <c r="R23" t="s">
        <v>50</v>
      </c>
      <c r="S23" s="7" t="s">
        <v>39</v>
      </c>
      <c r="T23" t="s">
        <v>55</v>
      </c>
      <c r="U23" t="s">
        <v>11</v>
      </c>
      <c r="W23">
        <v>2</v>
      </c>
      <c r="Y23" t="s">
        <v>294</v>
      </c>
    </row>
    <row r="24" spans="1:25" x14ac:dyDescent="0.25">
      <c r="A24" t="str">
        <f t="shared" si="4"/>
        <v>Blum_Z</v>
      </c>
      <c r="B24" s="54">
        <v>487887</v>
      </c>
      <c r="C24" t="str">
        <f t="shared" si="1"/>
        <v>487887 BLUM ABD.1000 Merivobox/Aventos top, vnější krytka pro potisk, bílá</v>
      </c>
      <c r="D24" s="54">
        <v>487887</v>
      </c>
      <c r="E24" s="63" t="s">
        <v>579</v>
      </c>
      <c r="F24" s="63" t="s">
        <v>580</v>
      </c>
      <c r="G24" s="63" t="s">
        <v>581</v>
      </c>
      <c r="H24" s="63" t="s">
        <v>130</v>
      </c>
      <c r="I24" s="63" t="s">
        <v>582</v>
      </c>
      <c r="J24">
        <f t="shared" si="2"/>
        <v>1.52061</v>
      </c>
      <c r="K24" s="8">
        <v>1.52061</v>
      </c>
      <c r="L24">
        <v>6.4810000000000006E-2</v>
      </c>
      <c r="M24">
        <v>0.27646999999999999</v>
      </c>
      <c r="N24">
        <v>23.685510000000001</v>
      </c>
      <c r="O24">
        <v>6.232E-2</v>
      </c>
      <c r="P24" s="6">
        <f t="shared" si="5"/>
        <v>1.824732</v>
      </c>
      <c r="Q24" s="6"/>
      <c r="R24" t="s">
        <v>51</v>
      </c>
      <c r="S24" s="7" t="s">
        <v>39</v>
      </c>
      <c r="T24" t="s">
        <v>55</v>
      </c>
      <c r="U24" t="s">
        <v>11</v>
      </c>
      <c r="Y24" t="s">
        <v>583</v>
      </c>
    </row>
    <row r="25" spans="1:25" x14ac:dyDescent="0.25">
      <c r="A25" t="str">
        <f t="shared" si="4"/>
        <v>Blum_Z</v>
      </c>
      <c r="B25" s="54">
        <v>487888</v>
      </c>
      <c r="C25" t="str">
        <f t="shared" si="1"/>
        <v>487888 BLUM ABD.1000 Merivobox/Aventos top, vnější krytka pro potisk, světle šedá IG</v>
      </c>
      <c r="D25" s="54">
        <v>487888</v>
      </c>
      <c r="E25" s="63" t="s">
        <v>584</v>
      </c>
      <c r="F25" s="63" t="s">
        <v>585</v>
      </c>
      <c r="G25" s="63" t="s">
        <v>586</v>
      </c>
      <c r="H25" s="63" t="s">
        <v>135</v>
      </c>
      <c r="I25" s="63" t="s">
        <v>587</v>
      </c>
      <c r="J25">
        <f t="shared" si="2"/>
        <v>1.52061</v>
      </c>
      <c r="K25" s="8">
        <v>1.52061</v>
      </c>
      <c r="L25">
        <v>6.4810000000000006E-2</v>
      </c>
      <c r="M25">
        <v>0.27646999999999999</v>
      </c>
      <c r="N25">
        <v>23.685510000000001</v>
      </c>
      <c r="O25">
        <v>6.232E-2</v>
      </c>
      <c r="P25" s="6">
        <f t="shared" si="5"/>
        <v>1.824732</v>
      </c>
      <c r="Q25" s="6"/>
      <c r="R25" t="s">
        <v>51</v>
      </c>
      <c r="S25" s="7" t="s">
        <v>39</v>
      </c>
      <c r="T25" t="s">
        <v>55</v>
      </c>
      <c r="U25" t="s">
        <v>11</v>
      </c>
      <c r="Y25" t="s">
        <v>588</v>
      </c>
    </row>
    <row r="26" spans="1:25" x14ac:dyDescent="0.25">
      <c r="A26" t="str">
        <f t="shared" si="4"/>
        <v>Blum_Z</v>
      </c>
      <c r="B26" s="54">
        <v>487889</v>
      </c>
      <c r="C26" t="str">
        <f t="shared" si="1"/>
        <v>487889 BLUM ABD.1000 Merivobox/Aventos top, vnější krytka pro potisk, tmavě šedá OG</v>
      </c>
      <c r="D26" s="54">
        <v>487889</v>
      </c>
      <c r="E26" s="63" t="s">
        <v>589</v>
      </c>
      <c r="F26" s="63" t="s">
        <v>590</v>
      </c>
      <c r="G26" s="63" t="s">
        <v>591</v>
      </c>
      <c r="H26" s="63" t="s">
        <v>139</v>
      </c>
      <c r="I26" s="63" t="s">
        <v>592</v>
      </c>
      <c r="J26">
        <f t="shared" si="2"/>
        <v>1.52061</v>
      </c>
      <c r="K26" s="8">
        <v>1.52061</v>
      </c>
      <c r="L26">
        <v>6.4810000000000006E-2</v>
      </c>
      <c r="M26">
        <v>0.27646999999999999</v>
      </c>
      <c r="N26">
        <v>23.685510000000001</v>
      </c>
      <c r="O26">
        <v>6.232E-2</v>
      </c>
      <c r="P26" s="6">
        <f t="shared" si="5"/>
        <v>1.824732</v>
      </c>
      <c r="Q26" s="6"/>
      <c r="R26" t="s">
        <v>51</v>
      </c>
      <c r="S26" s="7" t="s">
        <v>39</v>
      </c>
      <c r="T26" t="s">
        <v>55</v>
      </c>
      <c r="U26" t="s">
        <v>11</v>
      </c>
      <c r="Y26" t="s">
        <v>593</v>
      </c>
    </row>
    <row r="27" spans="1:25" x14ac:dyDescent="0.25">
      <c r="A27" t="str">
        <f t="shared" si="4"/>
        <v>Blum_P</v>
      </c>
      <c r="B27">
        <v>12093</v>
      </c>
      <c r="C27" t="str">
        <f t="shared" si="1"/>
        <v>12093 BLUM 70.1503 krytka ramínka pro naložený závěs, bez loga</v>
      </c>
      <c r="D27">
        <v>12093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>
        <f t="shared" si="2"/>
        <v>1.24952</v>
      </c>
      <c r="K27" s="8">
        <v>1.24952</v>
      </c>
      <c r="L27">
        <v>5.3260000000000002E-2</v>
      </c>
      <c r="M27">
        <v>0.22797999999999999</v>
      </c>
      <c r="N27">
        <v>20.153549999999999</v>
      </c>
      <c r="O27">
        <v>5.1209999999999999E-2</v>
      </c>
      <c r="P27" s="6">
        <f t="shared" si="5"/>
        <v>1.4994239999999999</v>
      </c>
      <c r="Q27" s="6"/>
      <c r="R27" t="s">
        <v>50</v>
      </c>
      <c r="S27" s="7" t="s">
        <v>39</v>
      </c>
      <c r="T27" t="s">
        <v>56</v>
      </c>
      <c r="U27" t="str">
        <f>překlady!B8</f>
        <v>Kov</v>
      </c>
      <c r="Y27" t="s">
        <v>304</v>
      </c>
    </row>
    <row r="28" spans="1:25" x14ac:dyDescent="0.25">
      <c r="A28" t="str">
        <f t="shared" ref="A28:A33" si="6">CONCATENATE(S28,"_",T28)</f>
        <v>Blum_P</v>
      </c>
      <c r="B28">
        <v>12011</v>
      </c>
      <c r="C28" t="str">
        <f t="shared" si="1"/>
        <v>12011 BLUM 70.1663 krytka ramínka pro polonaložený a vložený závěs, bez loga</v>
      </c>
      <c r="D28">
        <v>12011</v>
      </c>
      <c r="E28" t="s">
        <v>150</v>
      </c>
      <c r="F28" t="s">
        <v>151</v>
      </c>
      <c r="G28" t="s">
        <v>152</v>
      </c>
      <c r="H28" t="s">
        <v>153</v>
      </c>
      <c r="I28" t="s">
        <v>154</v>
      </c>
      <c r="J28">
        <f t="shared" si="2"/>
        <v>1.5298799999999999</v>
      </c>
      <c r="K28" s="8">
        <v>1.5298799999999999</v>
      </c>
      <c r="L28">
        <v>6.5210000000000004E-2</v>
      </c>
      <c r="M28">
        <v>0.27914</v>
      </c>
      <c r="N28">
        <v>24.67548</v>
      </c>
      <c r="O28">
        <v>6.2700000000000006E-2</v>
      </c>
      <c r="P28" s="6">
        <f t="shared" si="5"/>
        <v>1.8358559999999997</v>
      </c>
      <c r="Q28" s="6"/>
      <c r="R28" t="s">
        <v>50</v>
      </c>
      <c r="S28" s="7" t="s">
        <v>39</v>
      </c>
      <c r="T28" t="s">
        <v>56</v>
      </c>
      <c r="U28" t="s">
        <v>12</v>
      </c>
      <c r="W28">
        <v>2</v>
      </c>
      <c r="Y28" t="s">
        <v>305</v>
      </c>
    </row>
    <row r="29" spans="1:25" x14ac:dyDescent="0.25">
      <c r="A29" t="str">
        <f t="shared" si="6"/>
        <v>Blum_P</v>
      </c>
      <c r="B29">
        <v>12094</v>
      </c>
      <c r="C29" t="str">
        <f t="shared" si="1"/>
        <v>12094 BLUM 70.1553 krytka ramínka</v>
      </c>
      <c r="D29">
        <v>12094</v>
      </c>
      <c r="E29" t="s">
        <v>155</v>
      </c>
      <c r="F29" t="s">
        <v>156</v>
      </c>
      <c r="G29" t="s">
        <v>157</v>
      </c>
      <c r="H29" t="s">
        <v>158</v>
      </c>
      <c r="I29" t="s">
        <v>159</v>
      </c>
      <c r="J29">
        <f t="shared" si="2"/>
        <v>1.24952</v>
      </c>
      <c r="K29" s="8">
        <v>1.24952</v>
      </c>
      <c r="L29">
        <v>5.3260000000000002E-2</v>
      </c>
      <c r="M29">
        <v>0.22797999999999999</v>
      </c>
      <c r="N29">
        <v>20.153549999999999</v>
      </c>
      <c r="O29">
        <v>5.1209999999999999E-2</v>
      </c>
      <c r="P29" s="6">
        <f t="shared" si="5"/>
        <v>1.4994239999999999</v>
      </c>
      <c r="Q29" s="6"/>
      <c r="R29" t="s">
        <v>50</v>
      </c>
      <c r="S29" s="7" t="s">
        <v>39</v>
      </c>
      <c r="T29" t="s">
        <v>56</v>
      </c>
      <c r="U29" t="s">
        <v>12</v>
      </c>
      <c r="Y29" t="s">
        <v>306</v>
      </c>
    </row>
    <row r="30" spans="1:25" x14ac:dyDescent="0.25">
      <c r="A30" t="str">
        <f t="shared" si="6"/>
        <v>Blum_P</v>
      </c>
      <c r="B30">
        <v>12271</v>
      </c>
      <c r="C30" t="str">
        <f t="shared" si="1"/>
        <v>12271 BLUM 90M2503 krytka ramínka</v>
      </c>
      <c r="D30">
        <v>12271</v>
      </c>
      <c r="E30" t="s">
        <v>160</v>
      </c>
      <c r="F30" t="s">
        <v>161</v>
      </c>
      <c r="G30" t="s">
        <v>162</v>
      </c>
      <c r="H30" t="s">
        <v>163</v>
      </c>
      <c r="I30" t="s">
        <v>164</v>
      </c>
      <c r="J30">
        <f t="shared" si="2"/>
        <v>0.82765</v>
      </c>
      <c r="K30" s="8">
        <v>0.82765</v>
      </c>
      <c r="L30">
        <v>3.5279999999999999E-2</v>
      </c>
      <c r="M30">
        <v>0.15101000000000001</v>
      </c>
      <c r="N30">
        <v>13.34919</v>
      </c>
      <c r="O30">
        <v>3.3919999999999999E-2</v>
      </c>
      <c r="P30" s="6">
        <f t="shared" si="5"/>
        <v>0.99317999999999995</v>
      </c>
      <c r="Q30" s="6"/>
      <c r="R30" t="s">
        <v>50</v>
      </c>
      <c r="S30" s="7" t="s">
        <v>39</v>
      </c>
      <c r="T30" t="s">
        <v>56</v>
      </c>
      <c r="U30" t="s">
        <v>12</v>
      </c>
      <c r="Y30" t="s">
        <v>307</v>
      </c>
    </row>
    <row r="31" spans="1:25" x14ac:dyDescent="0.25">
      <c r="A31" t="str">
        <f t="shared" si="6"/>
        <v>Blum_P</v>
      </c>
      <c r="B31">
        <v>306321</v>
      </c>
      <c r="C31" t="str">
        <f t="shared" si="1"/>
        <v>306321 BLUM 70.1503 krytka ramínka bez loga Onyx</v>
      </c>
      <c r="D31">
        <v>306321</v>
      </c>
      <c r="E31" t="s">
        <v>165</v>
      </c>
      <c r="F31" t="s">
        <v>166</v>
      </c>
      <c r="G31" t="s">
        <v>167</v>
      </c>
      <c r="H31" t="s">
        <v>168</v>
      </c>
      <c r="I31" t="s">
        <v>169</v>
      </c>
      <c r="J31">
        <f t="shared" si="2"/>
        <v>2.00983</v>
      </c>
      <c r="K31" s="8">
        <v>2.00983</v>
      </c>
      <c r="L31">
        <v>8.566E-2</v>
      </c>
      <c r="M31">
        <v>0.36670999999999998</v>
      </c>
      <c r="N31">
        <v>32.416609999999999</v>
      </c>
      <c r="O31">
        <v>8.2369999999999999E-2</v>
      </c>
      <c r="P31" s="6">
        <f t="shared" si="5"/>
        <v>2.4117959999999998</v>
      </c>
      <c r="Q31" s="6"/>
      <c r="R31" t="s">
        <v>50</v>
      </c>
      <c r="S31" s="7" t="s">
        <v>39</v>
      </c>
      <c r="T31" t="s">
        <v>56</v>
      </c>
      <c r="U31" t="s">
        <v>12</v>
      </c>
      <c r="Y31" t="s">
        <v>308</v>
      </c>
    </row>
    <row r="32" spans="1:25" x14ac:dyDescent="0.25">
      <c r="A32" t="str">
        <f t="shared" si="6"/>
        <v>Blum_P</v>
      </c>
      <c r="B32">
        <v>306326</v>
      </c>
      <c r="C32" t="str">
        <f t="shared" si="1"/>
        <v>306326 BLUM 70.1553 krytka ramínka bez loga Onyx</v>
      </c>
      <c r="D32">
        <v>306326</v>
      </c>
      <c r="E32" t="s">
        <v>170</v>
      </c>
      <c r="F32" t="s">
        <v>171</v>
      </c>
      <c r="G32" t="s">
        <v>172</v>
      </c>
      <c r="H32" t="s">
        <v>173</v>
      </c>
      <c r="I32" t="s">
        <v>174</v>
      </c>
      <c r="J32">
        <f t="shared" si="2"/>
        <v>2.00983</v>
      </c>
      <c r="K32" s="8">
        <v>2.00983</v>
      </c>
      <c r="L32">
        <v>8.566E-2</v>
      </c>
      <c r="M32">
        <v>0.36670999999999998</v>
      </c>
      <c r="N32">
        <v>32.416609999999999</v>
      </c>
      <c r="O32">
        <v>8.2369999999999999E-2</v>
      </c>
      <c r="P32" s="6">
        <f t="shared" si="5"/>
        <v>2.4117959999999998</v>
      </c>
      <c r="Q32" s="6"/>
      <c r="R32" t="s">
        <v>50</v>
      </c>
      <c r="S32" s="7" t="s">
        <v>39</v>
      </c>
      <c r="T32" t="s">
        <v>56</v>
      </c>
      <c r="U32" t="s">
        <v>12</v>
      </c>
      <c r="Y32" t="s">
        <v>309</v>
      </c>
    </row>
    <row r="33" spans="1:25" x14ac:dyDescent="0.25">
      <c r="A33" t="str">
        <f t="shared" si="6"/>
        <v>Blum_P</v>
      </c>
      <c r="B33">
        <v>347984</v>
      </c>
      <c r="C33" t="str">
        <f t="shared" si="1"/>
        <v>347984 BLUM 70.4503 krytka ramínka Cristallo, tenký materiál, 125°/155° new, bez loga</v>
      </c>
      <c r="D33">
        <v>347984</v>
      </c>
      <c r="E33" t="s">
        <v>175</v>
      </c>
      <c r="F33" t="s">
        <v>176</v>
      </c>
      <c r="G33" t="s">
        <v>177</v>
      </c>
      <c r="H33" t="s">
        <v>178</v>
      </c>
      <c r="I33" t="s">
        <v>179</v>
      </c>
      <c r="J33">
        <f t="shared" si="2"/>
        <v>1.24952</v>
      </c>
      <c r="K33" s="8">
        <v>1.24952</v>
      </c>
      <c r="L33">
        <v>5.3260000000000002E-2</v>
      </c>
      <c r="M33">
        <v>0.22797999999999999</v>
      </c>
      <c r="N33">
        <v>20.153549999999999</v>
      </c>
      <c r="O33">
        <v>5.1209999999999999E-2</v>
      </c>
      <c r="P33" s="6">
        <f t="shared" si="5"/>
        <v>1.4994239999999999</v>
      </c>
      <c r="Q33" s="6"/>
      <c r="R33" t="s">
        <v>50</v>
      </c>
      <c r="S33" s="7" t="s">
        <v>39</v>
      </c>
      <c r="T33" t="s">
        <v>56</v>
      </c>
      <c r="U33" t="s">
        <v>12</v>
      </c>
      <c r="Y33" t="s">
        <v>310</v>
      </c>
    </row>
    <row r="34" spans="1:25" x14ac:dyDescent="0.25">
      <c r="A34" t="str">
        <f t="shared" ref="A34:A36" si="7">CONCATENATE(S34,"_",T34)</f>
        <v>Hettich_Z</v>
      </c>
      <c r="B34">
        <v>294837</v>
      </c>
      <c r="C34" t="str">
        <f t="shared" si="1"/>
        <v>294837 HETTICH 9194643 Atira krytka šedá</v>
      </c>
      <c r="D34">
        <v>294837</v>
      </c>
      <c r="E34" t="s">
        <v>185</v>
      </c>
      <c r="F34" t="s">
        <v>186</v>
      </c>
      <c r="G34" t="s">
        <v>187</v>
      </c>
      <c r="H34" t="s">
        <v>188</v>
      </c>
      <c r="I34" t="s">
        <v>189</v>
      </c>
      <c r="J34">
        <f t="shared" si="2"/>
        <v>1.09676</v>
      </c>
      <c r="K34" s="8">
        <v>1.09676</v>
      </c>
      <c r="L34">
        <v>4.675E-2</v>
      </c>
      <c r="M34">
        <v>0.20011000000000001</v>
      </c>
      <c r="N34">
        <v>17.689679999999999</v>
      </c>
      <c r="O34">
        <v>4.4949999999999997E-2</v>
      </c>
      <c r="P34" s="6">
        <f t="shared" si="5"/>
        <v>1.3161119999999999</v>
      </c>
      <c r="Q34" s="6"/>
      <c r="R34" t="s">
        <v>50</v>
      </c>
      <c r="S34" s="7" t="s">
        <v>49</v>
      </c>
      <c r="T34" t="s">
        <v>55</v>
      </c>
      <c r="U34" t="s">
        <v>11</v>
      </c>
      <c r="Y34" t="s">
        <v>314</v>
      </c>
    </row>
    <row r="35" spans="1:25" x14ac:dyDescent="0.25">
      <c r="A35" t="str">
        <f t="shared" si="7"/>
        <v>Hettich_Z</v>
      </c>
      <c r="B35">
        <v>294838</v>
      </c>
      <c r="C35" t="str">
        <f t="shared" si="1"/>
        <v>294838 HETTICH 9194644 Atira krytka bílá</v>
      </c>
      <c r="D35">
        <v>294838</v>
      </c>
      <c r="E35" t="s">
        <v>190</v>
      </c>
      <c r="F35" t="s">
        <v>191</v>
      </c>
      <c r="G35" t="s">
        <v>192</v>
      </c>
      <c r="H35" t="s">
        <v>193</v>
      </c>
      <c r="I35" t="s">
        <v>194</v>
      </c>
      <c r="J35">
        <f t="shared" si="2"/>
        <v>1.09676</v>
      </c>
      <c r="K35" s="8">
        <v>1.09676</v>
      </c>
      <c r="L35">
        <v>4.675E-2</v>
      </c>
      <c r="M35">
        <v>0.20011000000000001</v>
      </c>
      <c r="N35">
        <v>17.689679999999999</v>
      </c>
      <c r="O35">
        <v>4.4949999999999997E-2</v>
      </c>
      <c r="P35" s="6">
        <f t="shared" si="5"/>
        <v>1.3161119999999999</v>
      </c>
      <c r="Q35" s="6"/>
      <c r="R35" t="s">
        <v>50</v>
      </c>
      <c r="S35" s="7" t="s">
        <v>49</v>
      </c>
      <c r="T35" t="s">
        <v>55</v>
      </c>
      <c r="U35" t="s">
        <v>11</v>
      </c>
      <c r="Y35" t="s">
        <v>315</v>
      </c>
    </row>
    <row r="36" spans="1:25" x14ac:dyDescent="0.25">
      <c r="A36" t="str">
        <f t="shared" si="7"/>
        <v>Hettich_Z</v>
      </c>
      <c r="B36">
        <v>294839</v>
      </c>
      <c r="C36" t="str">
        <f t="shared" si="1"/>
        <v>294839 HETTICH 9194645 Atira krytka tmavošedá</v>
      </c>
      <c r="D36">
        <v>294839</v>
      </c>
      <c r="E36" t="s">
        <v>195</v>
      </c>
      <c r="F36" t="s">
        <v>196</v>
      </c>
      <c r="G36" t="s">
        <v>197</v>
      </c>
      <c r="H36" t="s">
        <v>198</v>
      </c>
      <c r="I36" t="s">
        <v>199</v>
      </c>
      <c r="J36">
        <f t="shared" si="2"/>
        <v>1.09676</v>
      </c>
      <c r="K36" s="8">
        <v>1.09676</v>
      </c>
      <c r="L36">
        <v>4.675E-2</v>
      </c>
      <c r="M36">
        <v>0.20011000000000001</v>
      </c>
      <c r="N36">
        <v>17.689679999999999</v>
      </c>
      <c r="O36">
        <v>4.4949999999999997E-2</v>
      </c>
      <c r="P36" s="6">
        <f t="shared" si="5"/>
        <v>1.3161119999999999</v>
      </c>
      <c r="Q36" s="6"/>
      <c r="R36" t="s">
        <v>50</v>
      </c>
      <c r="S36" s="7" t="s">
        <v>49</v>
      </c>
      <c r="T36" t="s">
        <v>55</v>
      </c>
      <c r="U36" t="s">
        <v>11</v>
      </c>
      <c r="Y36" t="s">
        <v>316</v>
      </c>
    </row>
    <row r="37" spans="1:25" x14ac:dyDescent="0.25">
      <c r="A37" t="str">
        <f t="shared" ref="A37:A39" si="8">CONCATENATE(S37,"_",T37)</f>
        <v>Hettich_Z</v>
      </c>
      <c r="B37">
        <v>103739</v>
      </c>
      <c r="C37" t="str">
        <f t="shared" si="1"/>
        <v>103739 HETTICH 10067 Selekta Pro 2000 krytka ramínka šedá</v>
      </c>
      <c r="D37">
        <v>103739</v>
      </c>
      <c r="E37" t="s">
        <v>277</v>
      </c>
      <c r="F37" t="s">
        <v>262</v>
      </c>
      <c r="G37" t="s">
        <v>278</v>
      </c>
      <c r="H37" t="s">
        <v>263</v>
      </c>
      <c r="I37" t="s">
        <v>264</v>
      </c>
      <c r="J37">
        <f t="shared" si="2"/>
        <v>1.21875</v>
      </c>
      <c r="K37" s="8">
        <v>1.21875</v>
      </c>
      <c r="L37">
        <v>5.1950000000000003E-2</v>
      </c>
      <c r="M37">
        <v>0.22237000000000001</v>
      </c>
      <c r="N37">
        <v>19.657260000000001</v>
      </c>
      <c r="O37">
        <v>4.9950000000000001E-2</v>
      </c>
      <c r="P37" s="6">
        <f t="shared" si="5"/>
        <v>1.4624999999999999</v>
      </c>
      <c r="R37" t="s">
        <v>50</v>
      </c>
      <c r="S37" s="7" t="s">
        <v>49</v>
      </c>
      <c r="T37" t="s">
        <v>55</v>
      </c>
      <c r="U37" t="s">
        <v>11</v>
      </c>
      <c r="Y37" t="s">
        <v>317</v>
      </c>
    </row>
    <row r="38" spans="1:25" x14ac:dyDescent="0.25">
      <c r="A38" t="str">
        <f t="shared" si="8"/>
        <v>Hettich_P</v>
      </c>
      <c r="B38">
        <v>105363</v>
      </c>
      <c r="C38" t="str">
        <f t="shared" si="1"/>
        <v>105363 HETTICH 9101552 Intermat krytka ramínka</v>
      </c>
      <c r="D38">
        <v>105363</v>
      </c>
      <c r="E38" t="s">
        <v>180</v>
      </c>
      <c r="F38" t="s">
        <v>181</v>
      </c>
      <c r="G38" t="s">
        <v>182</v>
      </c>
      <c r="H38" t="s">
        <v>183</v>
      </c>
      <c r="I38" t="s">
        <v>184</v>
      </c>
      <c r="J38">
        <f t="shared" si="2"/>
        <v>1.62619</v>
      </c>
      <c r="K38" s="8">
        <v>1.62619</v>
      </c>
      <c r="L38">
        <v>6.9320000000000007E-2</v>
      </c>
      <c r="M38">
        <v>0.29670999999999997</v>
      </c>
      <c r="N38">
        <v>26.228870000000001</v>
      </c>
      <c r="O38">
        <v>6.6650000000000001E-2</v>
      </c>
      <c r="P38" s="6">
        <f t="shared" si="5"/>
        <v>1.9514279999999999</v>
      </c>
      <c r="Q38" s="6"/>
      <c r="R38" t="s">
        <v>50</v>
      </c>
      <c r="S38" s="7" t="s">
        <v>49</v>
      </c>
      <c r="T38" t="s">
        <v>56</v>
      </c>
      <c r="U38" t="s">
        <v>12</v>
      </c>
      <c r="Y38" t="s">
        <v>320</v>
      </c>
    </row>
    <row r="39" spans="1:25" x14ac:dyDescent="0.25">
      <c r="A39" t="str">
        <f t="shared" si="8"/>
        <v>Hettich_P</v>
      </c>
      <c r="B39">
        <v>105408</v>
      </c>
      <c r="C39" t="str">
        <f t="shared" si="1"/>
        <v>105408 HETTICH 9088251 Sensys krytka pro misku TH</v>
      </c>
      <c r="D39">
        <v>105408</v>
      </c>
      <c r="E39" t="s">
        <v>279</v>
      </c>
      <c r="F39" t="s">
        <v>265</v>
      </c>
      <c r="G39" t="s">
        <v>266</v>
      </c>
      <c r="H39" t="s">
        <v>267</v>
      </c>
      <c r="I39" t="s">
        <v>268</v>
      </c>
      <c r="J39">
        <f t="shared" si="2"/>
        <v>2.1543000000000001</v>
      </c>
      <c r="K39" s="8">
        <v>2.1543000000000001</v>
      </c>
      <c r="L39">
        <v>9.1819999999999999E-2</v>
      </c>
      <c r="M39">
        <v>0.39306999999999997</v>
      </c>
      <c r="N39">
        <v>34.746769999999998</v>
      </c>
      <c r="O39">
        <v>8.8289999999999993E-2</v>
      </c>
      <c r="P39" s="6">
        <f t="shared" si="5"/>
        <v>2.5851600000000001</v>
      </c>
      <c r="R39" t="s">
        <v>50</v>
      </c>
      <c r="S39" s="7" t="s">
        <v>49</v>
      </c>
      <c r="T39" t="s">
        <v>56</v>
      </c>
      <c r="U39" t="s">
        <v>12</v>
      </c>
      <c r="Y39" t="s">
        <v>321</v>
      </c>
    </row>
    <row r="43" spans="1:25" x14ac:dyDescent="0.25">
      <c r="D43">
        <v>342261</v>
      </c>
    </row>
    <row r="44" spans="1:25" x14ac:dyDescent="0.25">
      <c r="D44">
        <v>507277</v>
      </c>
    </row>
    <row r="45" spans="1:25" x14ac:dyDescent="0.25">
      <c r="D45">
        <v>372347</v>
      </c>
    </row>
  </sheetData>
  <mergeCells count="3">
    <mergeCell ref="W7:X8"/>
    <mergeCell ref="K5:K6"/>
    <mergeCell ref="Y7:Z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6101-0B98-47C8-B7A1-1F8D9D317A3B}">
  <dimension ref="A2:Y20"/>
  <sheetViews>
    <sheetView workbookViewId="0">
      <selection activeCell="A20" sqref="A20:XFD20"/>
    </sheetView>
  </sheetViews>
  <sheetFormatPr defaultRowHeight="15" x14ac:dyDescent="0.25"/>
  <cols>
    <col min="10" max="10" width="14" customWidth="1"/>
  </cols>
  <sheetData>
    <row r="2" spans="1:25" x14ac:dyDescent="0.25">
      <c r="A2" t="s">
        <v>324</v>
      </c>
      <c r="B2">
        <v>372347</v>
      </c>
      <c r="C2" t="s">
        <v>293</v>
      </c>
      <c r="D2">
        <v>372347</v>
      </c>
      <c r="E2" t="s">
        <v>99</v>
      </c>
      <c r="F2" t="s">
        <v>100</v>
      </c>
      <c r="G2" t="s">
        <v>101</v>
      </c>
      <c r="H2" t="s">
        <v>102</v>
      </c>
      <c r="I2" t="s">
        <v>103</v>
      </c>
      <c r="J2" t="b">
        <f>IF($F$1=1,K8,IF($F$1=2,L8,IF($F$1=3,M8,IF($F$1=4,N8,IF($F$1=5,O8)))))</f>
        <v>0</v>
      </c>
      <c r="K2">
        <v>1.5791500000000001</v>
      </c>
      <c r="L2">
        <v>6.7180000000000004E-2</v>
      </c>
      <c r="M2">
        <v>0.28760000000000002</v>
      </c>
      <c r="N2">
        <v>25.42323</v>
      </c>
      <c r="O2">
        <v>6.4600000000000005E-2</v>
      </c>
      <c r="P2">
        <v>1000</v>
      </c>
      <c r="Q2">
        <v>1000</v>
      </c>
      <c r="R2" t="s">
        <v>51</v>
      </c>
      <c r="S2" t="s">
        <v>39</v>
      </c>
      <c r="T2" t="s">
        <v>55</v>
      </c>
      <c r="U2" t="s">
        <v>11</v>
      </c>
      <c r="W2">
        <v>2</v>
      </c>
      <c r="Y2" t="s">
        <v>293</v>
      </c>
    </row>
    <row r="3" spans="1:25" x14ac:dyDescent="0.25">
      <c r="A3" t="s">
        <v>324</v>
      </c>
      <c r="B3">
        <v>342261</v>
      </c>
      <c r="C3" t="s">
        <v>294</v>
      </c>
      <c r="D3">
        <v>342261</v>
      </c>
      <c r="E3" t="s">
        <v>104</v>
      </c>
      <c r="F3" t="s">
        <v>105</v>
      </c>
      <c r="G3" t="s">
        <v>106</v>
      </c>
      <c r="H3" t="s">
        <v>107</v>
      </c>
      <c r="I3" t="s">
        <v>108</v>
      </c>
      <c r="J3" t="b">
        <f t="shared" ref="J3:J6" si="0">IF($F$1=1,K9,IF($F$1=2,L9,IF($F$1=3,M9,IF($F$1=4,N9,IF($F$1=5,O9)))))</f>
        <v>0</v>
      </c>
      <c r="K3">
        <v>1.5762400000000001</v>
      </c>
      <c r="L3">
        <v>6.7180000000000004E-2</v>
      </c>
      <c r="M3">
        <v>0.28760000000000002</v>
      </c>
      <c r="N3">
        <v>25.42323</v>
      </c>
      <c r="O3">
        <v>6.4600000000000005E-2</v>
      </c>
      <c r="P3">
        <v>1000</v>
      </c>
      <c r="Q3">
        <v>1000</v>
      </c>
      <c r="R3" t="s">
        <v>51</v>
      </c>
      <c r="S3" t="s">
        <v>39</v>
      </c>
      <c r="T3" t="s">
        <v>55</v>
      </c>
      <c r="U3" t="s">
        <v>11</v>
      </c>
      <c r="W3">
        <v>2</v>
      </c>
      <c r="Y3" t="s">
        <v>294</v>
      </c>
    </row>
    <row r="4" spans="1:25" x14ac:dyDescent="0.25">
      <c r="A4" t="s">
        <v>324</v>
      </c>
      <c r="B4">
        <v>386188</v>
      </c>
      <c r="C4" t="s">
        <v>295</v>
      </c>
      <c r="D4">
        <v>386188</v>
      </c>
      <c r="E4" t="s">
        <v>109</v>
      </c>
      <c r="F4" t="s">
        <v>110</v>
      </c>
      <c r="G4" t="s">
        <v>111</v>
      </c>
      <c r="H4" t="s">
        <v>112</v>
      </c>
      <c r="I4" t="s">
        <v>113</v>
      </c>
      <c r="J4" t="b">
        <f t="shared" si="0"/>
        <v>0</v>
      </c>
      <c r="K4">
        <v>8.2035199999999993</v>
      </c>
      <c r="L4">
        <v>0.34966000000000003</v>
      </c>
      <c r="M4">
        <v>1.49678</v>
      </c>
      <c r="N4">
        <v>132.31484</v>
      </c>
      <c r="O4">
        <v>0.33621000000000001</v>
      </c>
      <c r="P4">
        <v>1000</v>
      </c>
      <c r="Q4">
        <v>1000</v>
      </c>
      <c r="R4" t="s">
        <v>51</v>
      </c>
      <c r="S4" t="s">
        <v>39</v>
      </c>
      <c r="T4" t="s">
        <v>55</v>
      </c>
      <c r="U4" t="s">
        <v>11</v>
      </c>
      <c r="W4">
        <v>2</v>
      </c>
      <c r="Y4" t="s">
        <v>295</v>
      </c>
    </row>
    <row r="5" spans="1:25" x14ac:dyDescent="0.25">
      <c r="A5" t="s">
        <v>324</v>
      </c>
      <c r="B5">
        <v>499740</v>
      </c>
      <c r="C5" t="s">
        <v>296</v>
      </c>
      <c r="D5">
        <v>499740</v>
      </c>
      <c r="E5" t="s">
        <v>114</v>
      </c>
      <c r="F5" t="s">
        <v>115</v>
      </c>
      <c r="G5" t="s">
        <v>249</v>
      </c>
      <c r="H5" t="s">
        <v>116</v>
      </c>
      <c r="I5" t="s">
        <v>117</v>
      </c>
      <c r="J5" t="b">
        <f t="shared" si="0"/>
        <v>0</v>
      </c>
      <c r="K5">
        <v>16.821850000000001</v>
      </c>
      <c r="L5">
        <v>0.71699999999999997</v>
      </c>
      <c r="M5">
        <v>3.0692499999999998</v>
      </c>
      <c r="N5">
        <v>271.32015999999999</v>
      </c>
      <c r="O5">
        <v>0.68942000000000003</v>
      </c>
      <c r="P5">
        <v>1000</v>
      </c>
      <c r="Q5">
        <v>1000</v>
      </c>
      <c r="R5" t="s">
        <v>51</v>
      </c>
      <c r="S5" t="s">
        <v>39</v>
      </c>
      <c r="T5" t="s">
        <v>55</v>
      </c>
      <c r="U5" t="s">
        <v>11</v>
      </c>
      <c r="W5">
        <v>2</v>
      </c>
      <c r="Y5" t="s">
        <v>296</v>
      </c>
    </row>
    <row r="6" spans="1:25" x14ac:dyDescent="0.25">
      <c r="A6" t="s">
        <v>324</v>
      </c>
      <c r="B6">
        <v>507277</v>
      </c>
      <c r="C6" t="s">
        <v>297</v>
      </c>
      <c r="D6">
        <v>507277</v>
      </c>
      <c r="E6" t="s">
        <v>118</v>
      </c>
      <c r="F6" t="s">
        <v>119</v>
      </c>
      <c r="G6" t="s">
        <v>250</v>
      </c>
      <c r="H6" t="s">
        <v>120</v>
      </c>
      <c r="I6" t="s">
        <v>121</v>
      </c>
      <c r="J6" t="b">
        <f t="shared" si="0"/>
        <v>0</v>
      </c>
      <c r="K6">
        <v>1.90784</v>
      </c>
      <c r="L6">
        <v>8.1320000000000003E-2</v>
      </c>
      <c r="M6">
        <v>0.34810000000000002</v>
      </c>
      <c r="N6">
        <v>30.771609999999999</v>
      </c>
      <c r="O6">
        <v>7.8189999999999996E-2</v>
      </c>
      <c r="P6">
        <v>1000</v>
      </c>
      <c r="Q6">
        <v>1000</v>
      </c>
      <c r="R6" t="s">
        <v>51</v>
      </c>
      <c r="S6" t="s">
        <v>39</v>
      </c>
      <c r="T6" t="s">
        <v>55</v>
      </c>
      <c r="U6" t="s">
        <v>11</v>
      </c>
      <c r="W6">
        <v>2</v>
      </c>
      <c r="Y6" t="s">
        <v>297</v>
      </c>
    </row>
    <row r="8" spans="1:25" x14ac:dyDescent="0.25">
      <c r="A8" t="str">
        <f t="shared" ref="A8:A10" si="1">CONCATENATE(S8,"_",T8)</f>
        <v>Blum_Z</v>
      </c>
      <c r="B8">
        <v>487887</v>
      </c>
      <c r="C8" t="str">
        <f t="shared" ref="C8:C10" si="2">CONCATENATE(B8," ",(IF($F$1=1,E8,IF($F$1=2,F8,IF($F$1=3,G8,IF($F$1=4,H8,IF($F$1=5,I8)))))))</f>
        <v>487887 NEPRAVDA</v>
      </c>
      <c r="D8">
        <v>487887</v>
      </c>
      <c r="E8" t="s">
        <v>127</v>
      </c>
      <c r="F8" t="s">
        <v>128</v>
      </c>
      <c r="G8" t="s">
        <v>129</v>
      </c>
      <c r="H8" t="s">
        <v>130</v>
      </c>
      <c r="I8" t="s">
        <v>131</v>
      </c>
      <c r="J8" t="b">
        <f t="shared" ref="J8:J10" si="3">IF($F$1=1,K8,IF($F$1=2,L8,IF($F$1=3,M8,IF($F$1=4,N8,IF($F$1=5,O8)))))</f>
        <v>0</v>
      </c>
      <c r="K8" s="8">
        <v>1.52061</v>
      </c>
      <c r="L8">
        <v>6.4810000000000006E-2</v>
      </c>
      <c r="M8">
        <v>0.27744000000000002</v>
      </c>
      <c r="N8">
        <v>24.525970000000001</v>
      </c>
      <c r="O8">
        <v>6.232E-2</v>
      </c>
      <c r="P8" s="6">
        <v>1000</v>
      </c>
      <c r="Q8" s="6">
        <v>1</v>
      </c>
      <c r="R8" t="s">
        <v>51</v>
      </c>
      <c r="S8" s="7" t="s">
        <v>39</v>
      </c>
      <c r="T8" t="s">
        <v>55</v>
      </c>
      <c r="U8" t="s">
        <v>11</v>
      </c>
      <c r="W8">
        <v>2</v>
      </c>
      <c r="Y8" t="s">
        <v>299</v>
      </c>
    </row>
    <row r="9" spans="1:25" x14ac:dyDescent="0.25">
      <c r="A9" t="str">
        <f t="shared" si="1"/>
        <v>Blum_Z</v>
      </c>
      <c r="B9">
        <v>487888</v>
      </c>
      <c r="C9" t="str">
        <f t="shared" si="2"/>
        <v>487888 NEPRAVDA</v>
      </c>
      <c r="D9">
        <v>487888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b">
        <f t="shared" si="3"/>
        <v>0</v>
      </c>
      <c r="K9" s="8">
        <v>1.52061</v>
      </c>
      <c r="L9">
        <v>6.4810000000000006E-2</v>
      </c>
      <c r="M9">
        <v>0.27744000000000002</v>
      </c>
      <c r="N9">
        <v>24.525970000000001</v>
      </c>
      <c r="O9">
        <v>6.232E-2</v>
      </c>
      <c r="P9" s="6">
        <v>1000</v>
      </c>
      <c r="Q9" s="6">
        <v>1</v>
      </c>
      <c r="R9" t="s">
        <v>51</v>
      </c>
      <c r="S9" s="7" t="s">
        <v>39</v>
      </c>
      <c r="T9" t="s">
        <v>55</v>
      </c>
      <c r="U9" t="s">
        <v>11</v>
      </c>
      <c r="W9">
        <v>2</v>
      </c>
      <c r="Y9" t="s">
        <v>300</v>
      </c>
    </row>
    <row r="10" spans="1:25" x14ac:dyDescent="0.25">
      <c r="A10" t="str">
        <f t="shared" si="1"/>
        <v>Blum_Z</v>
      </c>
      <c r="B10">
        <v>487889</v>
      </c>
      <c r="C10" t="str">
        <f t="shared" si="2"/>
        <v>487889 NEPRAVDA</v>
      </c>
      <c r="D10">
        <v>487889</v>
      </c>
      <c r="E10" t="s">
        <v>137</v>
      </c>
      <c r="F10" t="s">
        <v>138</v>
      </c>
      <c r="G10" t="s">
        <v>251</v>
      </c>
      <c r="H10" t="s">
        <v>139</v>
      </c>
      <c r="I10" t="s">
        <v>140</v>
      </c>
      <c r="J10" t="b">
        <f t="shared" si="3"/>
        <v>0</v>
      </c>
      <c r="K10" s="8">
        <v>1.52061</v>
      </c>
      <c r="L10">
        <v>6.4810000000000006E-2</v>
      </c>
      <c r="M10">
        <v>0.27744000000000002</v>
      </c>
      <c r="N10">
        <v>24.525970000000001</v>
      </c>
      <c r="O10">
        <v>6.232E-2</v>
      </c>
      <c r="P10" s="6">
        <v>1000</v>
      </c>
      <c r="Q10" s="6">
        <v>1</v>
      </c>
      <c r="R10" t="s">
        <v>51</v>
      </c>
      <c r="S10" s="7" t="s">
        <v>39</v>
      </c>
      <c r="T10" t="s">
        <v>55</v>
      </c>
      <c r="U10" t="s">
        <v>11</v>
      </c>
      <c r="W10">
        <v>2</v>
      </c>
      <c r="Y10" t="s">
        <v>301</v>
      </c>
    </row>
    <row r="12" spans="1:25" x14ac:dyDescent="0.25">
      <c r="A12" t="str">
        <f t="shared" ref="A12:A14" si="4">CONCATENATE(S12,"_",T12)</f>
        <v>Hettich_Z</v>
      </c>
      <c r="B12">
        <v>459760</v>
      </c>
      <c r="C12" t="str">
        <f t="shared" ref="C12:C14" si="5">CONCATENATE(B12," ",(IF($F$1=1,E12,IF($F$1=2,F12,IF($F$1=3,G12,IF($F$1=4,H12,IF($F$1=5,I12)))))))</f>
        <v>459760 NEPRAVDA</v>
      </c>
      <c r="D12">
        <v>459760</v>
      </c>
      <c r="E12" t="s">
        <v>206</v>
      </c>
      <c r="F12" t="s">
        <v>206</v>
      </c>
      <c r="G12" t="s">
        <v>206</v>
      </c>
      <c r="H12" t="s">
        <v>206</v>
      </c>
      <c r="I12" t="s">
        <v>207</v>
      </c>
      <c r="J12" t="b">
        <f t="shared" ref="J12:J14" si="6">IF($F$1=1,K12,IF($F$1=2,L12,IF($F$1=3,M12,IF($F$1=4,N12,IF($F$1=5,O12)))))</f>
        <v>0</v>
      </c>
      <c r="K12" s="8">
        <v>1.3996999999999999</v>
      </c>
      <c r="L12">
        <v>5.9659999999999998E-2</v>
      </c>
      <c r="M12">
        <v>0.25538</v>
      </c>
      <c r="N12">
        <v>22.575810000000001</v>
      </c>
      <c r="O12">
        <v>5.7369999999999997E-2</v>
      </c>
      <c r="P12" s="6">
        <v>200</v>
      </c>
      <c r="Q12" s="6">
        <v>1</v>
      </c>
      <c r="R12" t="s">
        <v>51</v>
      </c>
      <c r="S12" s="7" t="s">
        <v>49</v>
      </c>
      <c r="T12" t="s">
        <v>55</v>
      </c>
      <c r="U12" t="s">
        <v>11</v>
      </c>
      <c r="V12">
        <v>50</v>
      </c>
      <c r="W12">
        <v>1</v>
      </c>
      <c r="Y12" t="s">
        <v>311</v>
      </c>
    </row>
    <row r="13" spans="1:25" x14ac:dyDescent="0.25">
      <c r="A13" t="str">
        <f t="shared" si="4"/>
        <v>Hettich_Z</v>
      </c>
      <c r="B13">
        <v>468849</v>
      </c>
      <c r="C13" t="str">
        <f t="shared" si="5"/>
        <v>468849 NEPRAVDA</v>
      </c>
      <c r="D13">
        <v>468849</v>
      </c>
      <c r="E13" t="s">
        <v>208</v>
      </c>
      <c r="F13" t="s">
        <v>208</v>
      </c>
      <c r="G13" t="s">
        <v>208</v>
      </c>
      <c r="H13" t="s">
        <v>208</v>
      </c>
      <c r="I13" t="s">
        <v>209</v>
      </c>
      <c r="J13" t="b">
        <f t="shared" si="6"/>
        <v>0</v>
      </c>
      <c r="K13" s="8">
        <v>1.3996999999999999</v>
      </c>
      <c r="L13">
        <v>5.9659999999999998E-2</v>
      </c>
      <c r="M13">
        <v>0.25538</v>
      </c>
      <c r="N13">
        <v>22.575810000000001</v>
      </c>
      <c r="O13">
        <v>5.7369999999999997E-2</v>
      </c>
      <c r="P13" s="6">
        <v>200</v>
      </c>
      <c r="Q13" s="6">
        <v>1</v>
      </c>
      <c r="R13" t="s">
        <v>51</v>
      </c>
      <c r="S13" s="7" t="s">
        <v>49</v>
      </c>
      <c r="T13" t="s">
        <v>55</v>
      </c>
      <c r="U13" t="s">
        <v>11</v>
      </c>
      <c r="V13">
        <v>50</v>
      </c>
      <c r="W13">
        <v>1</v>
      </c>
      <c r="Y13" t="s">
        <v>312</v>
      </c>
    </row>
    <row r="14" spans="1:25" x14ac:dyDescent="0.25">
      <c r="A14" t="str">
        <f t="shared" si="4"/>
        <v>Hettich_Z</v>
      </c>
      <c r="B14">
        <v>468850</v>
      </c>
      <c r="C14" t="str">
        <f t="shared" si="5"/>
        <v>468850 NEPRAVDA</v>
      </c>
      <c r="D14">
        <v>468850</v>
      </c>
      <c r="E14" t="s">
        <v>210</v>
      </c>
      <c r="F14" t="s">
        <v>210</v>
      </c>
      <c r="G14" t="s">
        <v>210</v>
      </c>
      <c r="H14" t="s">
        <v>210</v>
      </c>
      <c r="I14" t="s">
        <v>211</v>
      </c>
      <c r="J14" t="b">
        <f t="shared" si="6"/>
        <v>0</v>
      </c>
      <c r="K14" s="8">
        <v>1.3996999999999999</v>
      </c>
      <c r="L14">
        <v>5.9659999999999998E-2</v>
      </c>
      <c r="M14">
        <v>0.25538</v>
      </c>
      <c r="N14">
        <v>22.575810000000001</v>
      </c>
      <c r="O14">
        <v>5.7369999999999997E-2</v>
      </c>
      <c r="P14" s="6">
        <v>200</v>
      </c>
      <c r="Q14" s="6">
        <v>1</v>
      </c>
      <c r="R14" t="s">
        <v>51</v>
      </c>
      <c r="S14" s="7" t="s">
        <v>49</v>
      </c>
      <c r="T14" t="s">
        <v>55</v>
      </c>
      <c r="U14" t="s">
        <v>11</v>
      </c>
      <c r="V14">
        <v>50</v>
      </c>
      <c r="W14">
        <v>1</v>
      </c>
      <c r="Y14" t="s">
        <v>313</v>
      </c>
    </row>
    <row r="16" spans="1:25" x14ac:dyDescent="0.25">
      <c r="A16" t="str">
        <f t="shared" ref="A16:A18" si="7">CONCATENATE(S16,"_",T16)</f>
        <v>Hettich_P</v>
      </c>
      <c r="B16">
        <v>350600</v>
      </c>
      <c r="C16" t="str">
        <f>CONCATENATE(B16," ",(IF($F$1=1,E16,IF($F$1=2,F16,IF($F$1=3,G16,IF($F$1=4,H16,IF($F$1=5,I16)))))))</f>
        <v>350600 NEPRAVDA</v>
      </c>
      <c r="D16">
        <v>350600</v>
      </c>
      <c r="E16" t="s">
        <v>200</v>
      </c>
      <c r="F16" t="s">
        <v>200</v>
      </c>
      <c r="G16" t="s">
        <v>200</v>
      </c>
      <c r="H16" t="s">
        <v>200</v>
      </c>
      <c r="I16" t="s">
        <v>200</v>
      </c>
      <c r="J16" t="b">
        <f>IF($F$1=1,K16,IF($F$1=2,L16,IF($F$1=3,M16,IF($F$1=4,N16,IF($F$1=5,O16)))))</f>
        <v>0</v>
      </c>
      <c r="K16" s="8">
        <v>1.6755800000000001</v>
      </c>
      <c r="L16">
        <v>7.1419999999999997E-2</v>
      </c>
      <c r="M16">
        <v>0.30571999999999999</v>
      </c>
      <c r="N16">
        <v>27.025480000000002</v>
      </c>
      <c r="O16">
        <v>6.8669999999999995E-2</v>
      </c>
      <c r="P16" s="6">
        <v>200</v>
      </c>
      <c r="Q16" s="6">
        <v>200</v>
      </c>
      <c r="R16" t="s">
        <v>51</v>
      </c>
      <c r="S16" s="7" t="s">
        <v>49</v>
      </c>
      <c r="T16" t="s">
        <v>56</v>
      </c>
      <c r="U16" t="s">
        <v>12</v>
      </c>
      <c r="Y16" t="s">
        <v>318</v>
      </c>
    </row>
    <row r="17" spans="1:25" x14ac:dyDescent="0.25">
      <c r="A17" t="str">
        <f t="shared" si="7"/>
        <v>Hettich_P</v>
      </c>
      <c r="B17">
        <v>468861</v>
      </c>
      <c r="C17" t="str">
        <f>CONCATENATE(B17," ",(IF($F$1=1,E17,IF($F$1=2,F17,IF($F$1=3,G17,IF($F$1=4,H17,IF($F$1=5,I17)))))))</f>
        <v>468861 NEPRAVDA</v>
      </c>
      <c r="D17">
        <v>468861</v>
      </c>
      <c r="E17" t="s">
        <v>201</v>
      </c>
      <c r="F17" t="s">
        <v>201</v>
      </c>
      <c r="G17" t="s">
        <v>201</v>
      </c>
      <c r="H17" t="s">
        <v>201</v>
      </c>
      <c r="I17" t="s">
        <v>202</v>
      </c>
      <c r="J17" t="b">
        <f>IF($F$1=1,K17,IF($F$1=2,L17,IF($F$1=3,M17,IF($F$1=4,N17,IF($F$1=5,O17)))))</f>
        <v>0</v>
      </c>
      <c r="K17" s="8">
        <v>3.40401</v>
      </c>
      <c r="L17">
        <v>0.14509</v>
      </c>
      <c r="M17">
        <v>0.62107999999999997</v>
      </c>
      <c r="N17">
        <v>54.903390000000002</v>
      </c>
      <c r="O17">
        <v>0.13951</v>
      </c>
      <c r="P17" s="6">
        <v>200</v>
      </c>
      <c r="Q17" s="6">
        <v>1</v>
      </c>
      <c r="R17" t="s">
        <v>51</v>
      </c>
      <c r="S17" s="7" t="s">
        <v>49</v>
      </c>
      <c r="T17" t="s">
        <v>56</v>
      </c>
      <c r="U17" t="s">
        <v>12</v>
      </c>
      <c r="V17">
        <v>50</v>
      </c>
      <c r="Y17" t="s">
        <v>319</v>
      </c>
    </row>
    <row r="18" spans="1:25" x14ac:dyDescent="0.25">
      <c r="A18" t="str">
        <f t="shared" si="7"/>
        <v>Hettich_P</v>
      </c>
      <c r="B18">
        <v>518906</v>
      </c>
      <c r="C18" t="str">
        <f>CONCATENATE(B18," ",(IF($F$1=1,E18,IF($F$1=2,F18,IF($F$1=3,G18,IF($F$1=4,H18,IF($F$1=5,I18)))))))</f>
        <v>518906 NEPRAVDA</v>
      </c>
      <c r="D18">
        <v>518906</v>
      </c>
      <c r="E18" t="s">
        <v>203</v>
      </c>
      <c r="F18" t="s">
        <v>204</v>
      </c>
      <c r="G18" t="s">
        <v>205</v>
      </c>
      <c r="J18" t="b">
        <f>IF($F$1=1,K18,IF($F$1=2,L18,IF($F$1=3,M18,IF($F$1=4,N18,IF($F$1=5,O18)))))</f>
        <v>0</v>
      </c>
      <c r="K18" s="8">
        <v>2.0124</v>
      </c>
      <c r="L18">
        <v>8.5779999999999995E-2</v>
      </c>
      <c r="M18">
        <v>0.36718000000000001</v>
      </c>
      <c r="N18">
        <v>32.458069999999999</v>
      </c>
      <c r="O18">
        <v>8.2479999999999998E-2</v>
      </c>
      <c r="P18" s="6">
        <v>200</v>
      </c>
      <c r="Q18" s="6">
        <v>200</v>
      </c>
      <c r="R18" t="s">
        <v>51</v>
      </c>
      <c r="S18" s="7" t="s">
        <v>49</v>
      </c>
      <c r="T18" t="s">
        <v>56</v>
      </c>
      <c r="U18" t="s">
        <v>12</v>
      </c>
      <c r="Y18" t="s">
        <v>275</v>
      </c>
    </row>
    <row r="20" spans="1:25" x14ac:dyDescent="0.25">
      <c r="A20" t="str">
        <f t="shared" ref="A20" si="8">CONCATENATE(S20,"_",T20)</f>
        <v>Hettich_P</v>
      </c>
      <c r="B20">
        <v>344734</v>
      </c>
      <c r="C20" t="str">
        <f>CONCATENATE(B20," ",(IF($F$1=1,E20,IF($F$1=2,G20,IF($F$1=3,H20,IF($F$1=4,I20,IF($F$1=5,#REF!)))))))</f>
        <v>344734 NEPRAVDA</v>
      </c>
      <c r="D20">
        <v>344734</v>
      </c>
      <c r="E20" t="s">
        <v>281</v>
      </c>
      <c r="F20" t="s">
        <v>269</v>
      </c>
      <c r="G20" t="s">
        <v>270</v>
      </c>
      <c r="H20" t="s">
        <v>271</v>
      </c>
      <c r="I20" t="s">
        <v>272</v>
      </c>
      <c r="J20" t="b">
        <f t="shared" ref="J20" si="9">IF($F$1=1,K20,IF($F$1=2,L20,IF($F$1=3,M20,IF($F$1=4,N20,IF($F$1=5,O20)))))</f>
        <v>0</v>
      </c>
      <c r="K20" s="8">
        <v>2.5885799999999999</v>
      </c>
      <c r="L20">
        <v>0.11033</v>
      </c>
      <c r="M20">
        <v>0.4723</v>
      </c>
      <c r="N20">
        <v>41.751289999999997</v>
      </c>
      <c r="O20">
        <v>0.10609</v>
      </c>
      <c r="P20">
        <v>50</v>
      </c>
      <c r="Q20">
        <v>1</v>
      </c>
      <c r="R20" t="s">
        <v>51</v>
      </c>
      <c r="S20" s="7" t="s">
        <v>49</v>
      </c>
      <c r="T20" t="s">
        <v>56</v>
      </c>
      <c r="U20" t="s">
        <v>12</v>
      </c>
      <c r="V20">
        <v>50</v>
      </c>
      <c r="Y20" t="s">
        <v>322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00A9-3571-4B8E-8ECC-94619B4449C2}">
  <dimension ref="A2:M15"/>
  <sheetViews>
    <sheetView workbookViewId="0">
      <selection activeCell="C13" sqref="C13"/>
    </sheetView>
  </sheetViews>
  <sheetFormatPr defaultRowHeight="15" x14ac:dyDescent="0.25"/>
  <cols>
    <col min="2" max="2" width="23" customWidth="1"/>
    <col min="3" max="3" width="46.7109375" customWidth="1"/>
  </cols>
  <sheetData>
    <row r="2" spans="1:13" ht="18.75" x14ac:dyDescent="0.25">
      <c r="A2" s="1"/>
      <c r="B2" s="1"/>
      <c r="C2" s="1"/>
      <c r="D2" s="1"/>
      <c r="E2" s="1"/>
      <c r="F2" s="1"/>
      <c r="G2" s="29"/>
      <c r="H2" s="29"/>
      <c r="I2" s="29"/>
      <c r="J2" s="29"/>
      <c r="K2" s="29"/>
      <c r="L2" s="89"/>
      <c r="M2" s="89"/>
    </row>
    <row r="6" spans="1:13" x14ac:dyDescent="0.25">
      <c r="B6" t="s">
        <v>328</v>
      </c>
    </row>
    <row r="7" spans="1:13" x14ac:dyDescent="0.25">
      <c r="B7" t="s">
        <v>456</v>
      </c>
    </row>
    <row r="9" spans="1:13" x14ac:dyDescent="0.25">
      <c r="B9" t="s">
        <v>256</v>
      </c>
      <c r="C9" s="26">
        <f>Config!D8</f>
        <v>0</v>
      </c>
    </row>
    <row r="10" spans="1:13" x14ac:dyDescent="0.25">
      <c r="B10" t="s">
        <v>243</v>
      </c>
      <c r="C10" s="88" t="e">
        <f>VLOOKUP(Config!D6,karty!C:E,3,0)</f>
        <v>#N/A</v>
      </c>
    </row>
    <row r="11" spans="1:13" x14ac:dyDescent="0.25">
      <c r="C11" s="88"/>
    </row>
    <row r="12" spans="1:13" x14ac:dyDescent="0.25">
      <c r="B12" t="s">
        <v>14</v>
      </c>
      <c r="C12" s="27">
        <f>Config!D9</f>
        <v>0</v>
      </c>
    </row>
    <row r="13" spans="1:13" x14ac:dyDescent="0.25">
      <c r="B13" t="s">
        <v>28</v>
      </c>
      <c r="C13" s="27" t="e">
        <f>VLOOKUP(Config!D10,překlady!B13:O14,14,0)</f>
        <v>#N/A</v>
      </c>
    </row>
    <row r="15" spans="1:13" x14ac:dyDescent="0.25">
      <c r="C15" t="e">
        <f>IF((VLOOKUP(C10,karty!E:X,19,0))=2,"Prosím pozor - objednávaná krytka není symetrická","")</f>
        <v>#N/A</v>
      </c>
    </row>
  </sheetData>
  <mergeCells count="2">
    <mergeCell ref="C10:C11"/>
    <mergeCell ref="L2:M2"/>
  </mergeCells>
  <conditionalFormatting sqref="C15">
    <cfRule type="notContainsBlanks" dxfId="11" priority="1">
      <formula>LEN(TRIM(C15))&gt;0</formula>
    </cfRule>
  </conditionalFormatting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24" ma:contentTypeDescription="Vytvoří nový dokument" ma:contentTypeScope="" ma:versionID="df696fceff1b5af9b6a8c167a2e85ccd">
  <xsd:schema xmlns:xsd="http://www.w3.org/2001/XMLSchema" xmlns:xs="http://www.w3.org/2001/XMLSchema" xmlns:p="http://schemas.microsoft.com/office/2006/metadata/properties" xmlns:ns2="9cacabe1-a925-4c8e-93ad-bc3cc27619b4" xmlns:ns3="cd5ff2c2-d0f5-469d-bf4e-c27dd00b986b" targetNamespace="http://schemas.microsoft.com/office/2006/metadata/properties" ma:root="true" ma:fieldsID="584a3d37de871b69982f4d0436ad91b5" ns2:_="" ns3:_="">
    <xsd:import namespace="9cacabe1-a925-4c8e-93ad-bc3cc27619b4"/>
    <xsd:import namespace="cd5ff2c2-d0f5-469d-bf4e-c27dd00b986b"/>
    <xsd:element name="properties">
      <xsd:complexType>
        <xsd:sequence>
          <xsd:element name="documentManagement">
            <xsd:complexType>
              <xsd:all>
                <xsd:element ref="ns2:Asana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Asana" ma:index="3" nillable="true" ma:displayName="Asana" ma:description="Odkaz na položku roadmapy do Asany" ma:format="Hyperlink" ma:internalName="Asan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12" nillable="true" ma:displayName="Taxonomy Catch All Column" ma:hidden="true" ma:list="{864a384c-dde1-4814-9aab-284c87304fd8}" ma:internalName="TaxCatchAll" ma:readOnly="false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9C1A7C-E7A3-49A2-8E7B-2B7485C28F18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9cacabe1-a925-4c8e-93ad-bc3cc27619b4"/>
    <ds:schemaRef ds:uri="cd5ff2c2-d0f5-469d-bf4e-c27dd00b986b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DAA66E1-D044-42B5-B90F-CCD1FD7AA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cabe1-a925-4c8e-93ad-bc3cc27619b4"/>
    <ds:schemaRef ds:uri="cd5ff2c2-d0f5-469d-bf4e-c27dd00b98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20ED5E-2B68-4B89-995D-A377DAF0F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6</vt:i4>
      </vt:variant>
    </vt:vector>
  </HeadingPairs>
  <TitlesOfParts>
    <vt:vector size="14" baseType="lpstr">
      <vt:lpstr>Úvod</vt:lpstr>
      <vt:lpstr>Zakaznik</vt:lpstr>
      <vt:lpstr>překlady</vt:lpstr>
      <vt:lpstr>Config</vt:lpstr>
      <vt:lpstr>data</vt:lpstr>
      <vt:lpstr>karty</vt:lpstr>
      <vt:lpstr>backup karty</vt:lpstr>
      <vt:lpstr>pro_tiskárnu</vt:lpstr>
      <vt:lpstr>Blum_P</vt:lpstr>
      <vt:lpstr>Blum_Z</vt:lpstr>
      <vt:lpstr>Hettich_P</vt:lpstr>
      <vt:lpstr>Hettich_Z</vt:lpstr>
      <vt:lpstr>Strong_P</vt:lpstr>
      <vt:lpstr>Strong_Z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Slaběňák Jiří</dc:creator>
  <cp:lastModifiedBy>Slaběňák Jiří</cp:lastModifiedBy>
  <dcterms:created xsi:type="dcterms:W3CDTF">2025-07-23T11:55:42Z</dcterms:created>
  <dcterms:modified xsi:type="dcterms:W3CDTF">2026-06-23T05:44:12Z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