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507\Downloads\"/>
    </mc:Choice>
  </mc:AlternateContent>
  <xr:revisionPtr revIDLastSave="0" documentId="13_ncr:1_{8F931EF2-C27D-4F9F-B125-33710293AD8E}" xr6:coauthVersionLast="47" xr6:coauthVersionMax="47" xr10:uidLastSave="{00000000-0000-0000-0000-000000000000}"/>
  <workbookProtection workbookAlgorithmName="SHA-512" workbookHashValue="FJeX7LcEKidxotZjEmaZMtMzSMO05d8ox0nJpZt6oG4/I9BqGT1xOdOv2dzejeIstpzFTxCXRAmiiU4FikRO5Q==" workbookSaltValue="zBNdAEwHZFcrnvZfma06FA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/>
  <c r="D83" i="8"/>
  <c r="C83" i="8"/>
  <c r="B83" i="8"/>
  <c r="E112" i="8"/>
  <c r="D112" i="8"/>
  <c r="C112" i="8"/>
  <c r="B112" i="8"/>
  <c r="AB1" i="2"/>
  <c r="A1" i="8"/>
  <c r="A178" i="8"/>
  <c r="N57" i="6" s="1"/>
  <c r="A106" i="8"/>
  <c r="A175" i="8"/>
  <c r="A177" i="8"/>
  <c r="G360" i="16" s="1"/>
  <c r="M360" i="16" s="1"/>
  <c r="A176" i="8"/>
  <c r="A174" i="8"/>
  <c r="C26" i="13" s="1"/>
  <c r="A173" i="8"/>
  <c r="K140" i="10" s="1"/>
  <c r="A105" i="8"/>
  <c r="A172" i="8"/>
  <c r="A171" i="8"/>
  <c r="A170" i="8"/>
  <c r="A169" i="8"/>
  <c r="A168" i="8"/>
  <c r="I43" i="10"/>
  <c r="A167" i="8"/>
  <c r="D42" i="10"/>
  <c r="A166" i="8"/>
  <c r="A165" i="8"/>
  <c r="I41" i="10" s="1"/>
  <c r="A164" i="8"/>
  <c r="A163" i="8"/>
  <c r="A162" i="8"/>
  <c r="A161" i="8"/>
  <c r="I42" i="10"/>
  <c r="A160" i="8"/>
  <c r="D43" i="10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C158" i="10" s="1"/>
  <c r="A133" i="8"/>
  <c r="A132" i="8"/>
  <c r="A131" i="8"/>
  <c r="A130" i="8"/>
  <c r="A129" i="8"/>
  <c r="A128" i="8"/>
  <c r="A127" i="8"/>
  <c r="A126" i="8"/>
  <c r="A125" i="8"/>
  <c r="A124" i="8"/>
  <c r="A123" i="8"/>
  <c r="A122" i="8"/>
  <c r="C22" i="13" s="1"/>
  <c r="A121" i="8"/>
  <c r="A120" i="8"/>
  <c r="A119" i="8"/>
  <c r="A118" i="8"/>
  <c r="A117" i="8"/>
  <c r="A116" i="8"/>
  <c r="A115" i="8"/>
  <c r="A114" i="8"/>
  <c r="A113" i="8"/>
  <c r="A112" i="8"/>
  <c r="A111" i="8"/>
  <c r="A110" i="8"/>
  <c r="AO243" i="2" s="1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D298" i="16" s="1"/>
  <c r="A67" i="8"/>
  <c r="W10" i="2" s="1"/>
  <c r="A66" i="8"/>
  <c r="W9" i="2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/>
  <c r="A37" i="8"/>
  <c r="A36" i="8"/>
  <c r="A35" i="8"/>
  <c r="A34" i="8"/>
  <c r="A33" i="8"/>
  <c r="A32" i="8"/>
  <c r="A31" i="8"/>
  <c r="A30" i="8"/>
  <c r="A29" i="8"/>
  <c r="C34" i="6" s="1"/>
  <c r="A28" i="8"/>
  <c r="A27" i="8"/>
  <c r="A26" i="8"/>
  <c r="A25" i="8"/>
  <c r="A24" i="8"/>
  <c r="A23" i="8"/>
  <c r="A22" i="8"/>
  <c r="A21" i="8"/>
  <c r="A20" i="8"/>
  <c r="A19" i="8"/>
  <c r="A18" i="8"/>
  <c r="A17" i="8"/>
  <c r="I11" i="6" s="1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/>
  <c r="G199" i="16"/>
  <c r="G279" i="16"/>
  <c r="G39" i="16"/>
  <c r="G119" i="16"/>
  <c r="G359" i="16"/>
  <c r="G120" i="16"/>
  <c r="G200" i="16"/>
  <c r="G40" i="16"/>
  <c r="M40" i="16" s="1"/>
  <c r="G361" i="16"/>
  <c r="G201" i="16"/>
  <c r="G121" i="16"/>
  <c r="G41" i="16"/>
  <c r="G281" i="16"/>
  <c r="G282" i="16"/>
  <c r="G362" i="16"/>
  <c r="G122" i="16"/>
  <c r="G140" i="10"/>
  <c r="G12" i="10"/>
  <c r="G202" i="16"/>
  <c r="D41" i="10"/>
  <c r="K7" i="10"/>
  <c r="K9" i="10"/>
  <c r="G9" i="10"/>
  <c r="G7" i="10"/>
  <c r="K5" i="10"/>
  <c r="G5" i="10"/>
  <c r="C6" i="10"/>
  <c r="C5" i="10"/>
  <c r="G42" i="16"/>
  <c r="G43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/>
  <c r="U15" i="16"/>
  <c r="U11" i="16"/>
  <c r="W17" i="16"/>
  <c r="W18" i="16"/>
  <c r="V17" i="16"/>
  <c r="U14" i="16"/>
  <c r="E13" i="9"/>
  <c r="C13" i="9"/>
  <c r="B13" i="9"/>
  <c r="Q13" i="6"/>
  <c r="Q5" i="16"/>
  <c r="T15" i="2"/>
  <c r="Q2" i="16" s="1"/>
  <c r="T10" i="2"/>
  <c r="Q3" i="16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/>
  <c r="AQ7" i="2"/>
  <c r="AS17" i="2"/>
  <c r="AY54" i="2"/>
  <c r="AY27" i="2"/>
  <c r="AS7" i="2"/>
  <c r="AQ17" i="2"/>
  <c r="AY6" i="2"/>
  <c r="BC31" i="2"/>
  <c r="AY18" i="2"/>
  <c r="AQ13" i="2"/>
  <c r="AR56" i="2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/>
  <c r="N11" i="6"/>
  <c r="B11" i="1"/>
  <c r="D79" i="2"/>
  <c r="E79" i="2"/>
  <c r="N9" i="6"/>
  <c r="R53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/>
  <c r="AD188" i="2"/>
  <c r="AB168" i="2"/>
  <c r="AD138" i="2"/>
  <c r="AD57" i="2"/>
  <c r="AC57" i="2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/>
  <c r="AD19" i="2"/>
  <c r="AD28" i="2"/>
  <c r="AD30" i="2"/>
  <c r="D58" i="2"/>
  <c r="AD183" i="2"/>
  <c r="AC183" i="2"/>
  <c r="AD130" i="2"/>
  <c r="AD133" i="2"/>
  <c r="AD167" i="2"/>
  <c r="AD170" i="2"/>
  <c r="AC170" i="2"/>
  <c r="AD193" i="2"/>
  <c r="AD146" i="2"/>
  <c r="AD181" i="2"/>
  <c r="AD115" i="2"/>
  <c r="AC115" i="2"/>
  <c r="AD198" i="2"/>
  <c r="AB21" i="2"/>
  <c r="AB161" i="2"/>
  <c r="AD120" i="2"/>
  <c r="AC120" i="2"/>
  <c r="AB156" i="2"/>
  <c r="AB154" i="2"/>
  <c r="AB220" i="2"/>
  <c r="AD77" i="2"/>
  <c r="AC77" i="2"/>
  <c r="AD46" i="2"/>
  <c r="G58" i="2"/>
  <c r="AB131" i="2"/>
  <c r="AD110" i="2"/>
  <c r="AB234" i="2"/>
  <c r="AB57" i="2"/>
  <c r="AB125" i="2"/>
  <c r="AD43" i="2"/>
  <c r="AD242" i="2"/>
  <c r="AC242" i="2"/>
  <c r="AD49" i="2"/>
  <c r="G72" i="2"/>
  <c r="AB43" i="2"/>
  <c r="AD134" i="2"/>
  <c r="AD232" i="2"/>
  <c r="AC232" i="2"/>
  <c r="AD25" i="2"/>
  <c r="D60" i="2"/>
  <c r="AD9" i="2"/>
  <c r="AB138" i="2"/>
  <c r="AD48" i="2"/>
  <c r="AC48" i="2"/>
  <c r="AB86" i="2"/>
  <c r="AB41" i="2"/>
  <c r="AB235" i="2"/>
  <c r="AB240" i="2"/>
  <c r="AB224" i="2"/>
  <c r="AB47" i="2"/>
  <c r="AB83" i="2"/>
  <c r="AB16" i="2"/>
  <c r="AD237" i="2"/>
  <c r="AC237" i="2"/>
  <c r="AB29" i="2"/>
  <c r="AB137" i="2"/>
  <c r="AB140" i="2"/>
  <c r="AD45" i="2"/>
  <c r="AD86" i="2"/>
  <c r="AD88" i="2"/>
  <c r="AD41" i="2"/>
  <c r="G60" i="2"/>
  <c r="AB236" i="2"/>
  <c r="AD240" i="2"/>
  <c r="AD239" i="2"/>
  <c r="AB189" i="2"/>
  <c r="AB141" i="2"/>
  <c r="AB36" i="2"/>
  <c r="AB115" i="2"/>
  <c r="AD187" i="2"/>
  <c r="AC187" i="2"/>
  <c r="AB5" i="2"/>
  <c r="AD16" i="2"/>
  <c r="AD224" i="2"/>
  <c r="AB232" i="2"/>
  <c r="AD18" i="2"/>
  <c r="AB25" i="2"/>
  <c r="AB75" i="2"/>
  <c r="AD137" i="2"/>
  <c r="AC137" i="2"/>
  <c r="AD42" i="2"/>
  <c r="AB40" i="2"/>
  <c r="AB88" i="2"/>
  <c r="AD87" i="2"/>
  <c r="H73" i="2"/>
  <c r="AD90" i="2"/>
  <c r="AD236" i="2"/>
  <c r="AD5" i="2"/>
  <c r="AB4" i="2"/>
  <c r="AO17" i="2"/>
  <c r="AB48" i="2"/>
  <c r="AD74" i="2"/>
  <c r="D72" i="2"/>
  <c r="AB237" i="2"/>
  <c r="AD4" i="2"/>
  <c r="AC4" i="2"/>
  <c r="AT17" i="2"/>
  <c r="AD118" i="2"/>
  <c r="AB239" i="2"/>
  <c r="AB112" i="2"/>
  <c r="AB183" i="2"/>
  <c r="AB78" i="2"/>
  <c r="AB128" i="2"/>
  <c r="AD73" i="2"/>
  <c r="AD145" i="2"/>
  <c r="AC145" i="2"/>
  <c r="AB221" i="2"/>
  <c r="AB133" i="2"/>
  <c r="AB31" i="2"/>
  <c r="Y1" i="2"/>
  <c r="AD197" i="2"/>
  <c r="AD85" i="2"/>
  <c r="AC85" i="2"/>
  <c r="AD140" i="2"/>
  <c r="AD10" i="2"/>
  <c r="AC10" i="2"/>
  <c r="AD81" i="2"/>
  <c r="AD36" i="2"/>
  <c r="AC36" i="2"/>
  <c r="AD17" i="2"/>
  <c r="AD155" i="2"/>
  <c r="AC155" i="2"/>
  <c r="AD129" i="2"/>
  <c r="AD135" i="2"/>
  <c r="AC135" i="2"/>
  <c r="AD211" i="2"/>
  <c r="N61" i="2"/>
  <c r="AD194" i="2"/>
  <c r="AC194" i="2"/>
  <c r="AD61" i="2"/>
  <c r="AD71" i="2"/>
  <c r="AC71" i="2"/>
  <c r="AD189" i="2"/>
  <c r="AD89" i="2"/>
  <c r="AC89" i="2"/>
  <c r="AB118" i="2"/>
  <c r="AD72" i="2"/>
  <c r="AC72" i="2"/>
  <c r="AB45" i="2"/>
  <c r="AB15" i="2"/>
  <c r="AB42" i="2"/>
  <c r="AD64" i="2"/>
  <c r="K59" i="2"/>
  <c r="AB192" i="2"/>
  <c r="AB85" i="2"/>
  <c r="AD60" i="2"/>
  <c r="AC60" i="2"/>
  <c r="AD122" i="2"/>
  <c r="AC122" i="2"/>
  <c r="AD32" i="2"/>
  <c r="AD174" i="2"/>
  <c r="AC174" i="2"/>
  <c r="AD114" i="2"/>
  <c r="AC114" i="2"/>
  <c r="AD192" i="2"/>
  <c r="AC192" i="2"/>
  <c r="AD164" i="2"/>
  <c r="AD82" i="2"/>
  <c r="AC82" i="2"/>
  <c r="AD47" i="2"/>
  <c r="AC47" i="2"/>
  <c r="AB231" i="2"/>
  <c r="AB242" i="2"/>
  <c r="S53" i="6"/>
  <c r="T53" i="6"/>
  <c r="V53" i="6"/>
  <c r="AZ23" i="2"/>
  <c r="F22" i="2"/>
  <c r="G22" i="2"/>
  <c r="D83" i="2"/>
  <c r="E83" i="2"/>
  <c r="D120" i="2"/>
  <c r="E120" i="2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/>
  <c r="F92" i="2"/>
  <c r="F28" i="2"/>
  <c r="G28" i="2"/>
  <c r="F102" i="2"/>
  <c r="N13" i="2"/>
  <c r="K13" i="2"/>
  <c r="D82" i="2"/>
  <c r="E82" i="2"/>
  <c r="AB12" i="2"/>
  <c r="AO7" i="2"/>
  <c r="F25" i="2"/>
  <c r="G25" i="2"/>
  <c r="F95" i="2"/>
  <c r="F27" i="2"/>
  <c r="G27" i="2"/>
  <c r="AB11" i="2"/>
  <c r="AB74" i="2"/>
  <c r="AB169" i="2"/>
  <c r="AB222" i="2"/>
  <c r="AD142" i="2"/>
  <c r="AC142" i="2"/>
  <c r="AB59" i="2"/>
  <c r="AB19" i="2"/>
  <c r="AB28" i="2"/>
  <c r="AD173" i="2"/>
  <c r="AC173" i="2"/>
  <c r="AD166" i="2"/>
  <c r="AC166" i="2"/>
  <c r="AD40" i="2"/>
  <c r="G59" i="2"/>
  <c r="AD124" i="2"/>
  <c r="AC124" i="2"/>
  <c r="AB92" i="2"/>
  <c r="AB91" i="2"/>
  <c r="AD185" i="2"/>
  <c r="L92" i="2"/>
  <c r="AB193" i="2"/>
  <c r="AB195" i="2"/>
  <c r="BD54" i="2"/>
  <c r="AD191" i="2"/>
  <c r="AC191" i="2"/>
  <c r="AD147" i="2"/>
  <c r="AC147" i="2"/>
  <c r="AB114" i="2"/>
  <c r="AB159" i="2"/>
  <c r="AB162" i="2"/>
  <c r="AO52" i="2"/>
  <c r="AD37" i="2"/>
  <c r="AC37" i="2"/>
  <c r="AB10" i="2"/>
  <c r="AB211" i="2"/>
  <c r="AO56" i="2"/>
  <c r="AB153" i="2"/>
  <c r="AD117" i="2"/>
  <c r="AC117" i="2"/>
  <c r="AD21" i="2"/>
  <c r="AC21" i="2"/>
  <c r="AB119" i="2"/>
  <c r="AB87" i="2"/>
  <c r="AB177" i="2"/>
  <c r="AB134" i="2"/>
  <c r="AD65" i="2"/>
  <c r="AC65" i="2"/>
  <c r="AD184" i="2"/>
  <c r="L100" i="2"/>
  <c r="AD154" i="2"/>
  <c r="AC154" i="2"/>
  <c r="AC41" i="2"/>
  <c r="AG160" i="2"/>
  <c r="AF170" i="2"/>
  <c r="AG169" i="2"/>
  <c r="AG163" i="2"/>
  <c r="AF164" i="2"/>
  <c r="E57" i="2"/>
  <c r="J58" i="2"/>
  <c r="L58" i="2"/>
  <c r="AC49" i="2"/>
  <c r="E58" i="2"/>
  <c r="G73" i="2"/>
  <c r="I73" i="2"/>
  <c r="G65" i="2"/>
  <c r="K62" i="2"/>
  <c r="L62" i="2"/>
  <c r="AC46" i="2"/>
  <c r="D73" i="2"/>
  <c r="N60" i="2"/>
  <c r="AC74" i="2"/>
  <c r="N59" i="2"/>
  <c r="F72" i="2"/>
  <c r="C68" i="2"/>
  <c r="L98" i="2"/>
  <c r="M98" i="2"/>
  <c r="AC211" i="2"/>
  <c r="AT56" i="2"/>
  <c r="AV56" i="2"/>
  <c r="N65" i="2"/>
  <c r="N67" i="2"/>
  <c r="AC30" i="2"/>
  <c r="L94" i="2"/>
  <c r="M94" i="2"/>
  <c r="AC64" i="2"/>
  <c r="D65" i="2"/>
  <c r="AC25" i="2"/>
  <c r="F31" i="2"/>
  <c r="F97" i="2"/>
  <c r="N16" i="2"/>
  <c r="C8" i="2"/>
  <c r="D86" i="2"/>
  <c r="E86" i="2"/>
  <c r="F107" i="2"/>
  <c r="F26" i="2"/>
  <c r="G26" i="2"/>
  <c r="F96" i="2"/>
  <c r="K9" i="2"/>
  <c r="F106" i="2"/>
  <c r="D121" i="2"/>
  <c r="E121" i="2"/>
  <c r="F103" i="2"/>
  <c r="D84" i="2"/>
  <c r="E84" i="2"/>
  <c r="K8" i="2"/>
  <c r="AR17" i="2"/>
  <c r="AV17" i="2"/>
  <c r="R11" i="6"/>
  <c r="D81" i="2"/>
  <c r="E81" i="2"/>
  <c r="D80" i="2"/>
  <c r="E80" i="2"/>
  <c r="F100" i="2"/>
  <c r="B25" i="2"/>
  <c r="F24" i="2"/>
  <c r="G24" i="2"/>
  <c r="F108" i="2"/>
  <c r="AZ32" i="2"/>
  <c r="I9" i="2"/>
  <c r="C13" i="2"/>
  <c r="I10" i="2"/>
  <c r="C10" i="2"/>
  <c r="D122" i="2"/>
  <c r="E122" i="2"/>
  <c r="F104" i="2"/>
  <c r="N10" i="2"/>
  <c r="F21" i="2"/>
  <c r="G21" i="2"/>
  <c r="F20" i="2"/>
  <c r="G20" i="2"/>
  <c r="N8" i="2"/>
  <c r="F99" i="2"/>
  <c r="K10" i="2"/>
  <c r="AZ43" i="2"/>
  <c r="C16" i="2"/>
  <c r="B9" i="1"/>
  <c r="AD12" i="2"/>
  <c r="F57" i="2"/>
  <c r="N66" i="2"/>
  <c r="N64" i="2"/>
  <c r="S13" i="6"/>
  <c r="D85" i="2"/>
  <c r="E85" i="2"/>
  <c r="D123" i="2"/>
  <c r="E123" i="2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/>
  <c r="AD80" i="2"/>
  <c r="AC80" i="2"/>
  <c r="AD23" i="2"/>
  <c r="AD75" i="2"/>
  <c r="AC75" i="2"/>
  <c r="AB188" i="2"/>
  <c r="AD175" i="2"/>
  <c r="AC175" i="2"/>
  <c r="AB39" i="2"/>
  <c r="AZ27" i="2"/>
  <c r="AO26" i="2"/>
  <c r="AB127" i="2"/>
  <c r="AB80" i="2"/>
  <c r="AB64" i="2"/>
  <c r="AD78" i="2"/>
  <c r="AC78" i="2"/>
  <c r="AD231" i="2"/>
  <c r="AC231" i="2"/>
  <c r="AB148" i="2"/>
  <c r="AB173" i="2"/>
  <c r="AD67" i="2"/>
  <c r="AC67" i="2"/>
  <c r="AD58" i="2"/>
  <c r="K66" i="2"/>
  <c r="AD220" i="2"/>
  <c r="AC220" i="2"/>
  <c r="AD20" i="2"/>
  <c r="AC20" i="2"/>
  <c r="AD11" i="2"/>
  <c r="AC11" i="2"/>
  <c r="BA15" i="2"/>
  <c r="AD141" i="2"/>
  <c r="AC141" i="2"/>
  <c r="AD238" i="2"/>
  <c r="AC238" i="2"/>
  <c r="AB180" i="2"/>
  <c r="AB170" i="2"/>
  <c r="AB147" i="2"/>
  <c r="AB157" i="2"/>
  <c r="AB18" i="2"/>
  <c r="AB55" i="2"/>
  <c r="AB44" i="2"/>
  <c r="AB233" i="2"/>
  <c r="AB58" i="2"/>
  <c r="AD6" i="2"/>
  <c r="AC6" i="2"/>
  <c r="AB30" i="2"/>
  <c r="AB160" i="2"/>
  <c r="AB164" i="2"/>
  <c r="AD172" i="2"/>
  <c r="AC172" i="2"/>
  <c r="AD39" i="2"/>
  <c r="G64" i="2"/>
  <c r="AB129" i="2"/>
  <c r="AB50" i="2"/>
  <c r="AB181" i="2"/>
  <c r="AB166" i="2"/>
  <c r="AD125" i="2"/>
  <c r="AC125" i="2"/>
  <c r="AD59" i="2"/>
  <c r="AC59" i="2"/>
  <c r="AD31" i="2"/>
  <c r="AC31" i="2"/>
  <c r="AD127" i="2"/>
  <c r="AB52" i="2"/>
  <c r="AB68" i="2"/>
  <c r="AB79" i="2"/>
  <c r="AD143" i="2"/>
  <c r="AC143" i="2"/>
  <c r="AB71" i="2"/>
  <c r="AD116" i="2"/>
  <c r="AC116" i="2"/>
  <c r="AD152" i="2"/>
  <c r="AC152" i="2"/>
  <c r="AD159" i="2"/>
  <c r="AC159" i="2"/>
  <c r="AB130" i="2"/>
  <c r="AD113" i="2"/>
  <c r="AB65" i="2"/>
  <c r="AB163" i="2"/>
  <c r="AB152" i="2"/>
  <c r="AD234" i="2"/>
  <c r="AC234" i="2"/>
  <c r="AB123" i="2"/>
  <c r="AD158" i="2"/>
  <c r="AC158" i="2"/>
  <c r="AD163" i="2"/>
  <c r="AC163" i="2"/>
  <c r="AB151" i="2"/>
  <c r="AB81" i="2"/>
  <c r="AD177" i="2"/>
  <c r="AC177" i="2"/>
  <c r="AD131" i="2"/>
  <c r="AC131" i="2"/>
  <c r="AD3" i="2"/>
  <c r="AC3" i="2"/>
  <c r="AD34" i="2"/>
  <c r="AD139" i="2"/>
  <c r="AC139" i="2"/>
  <c r="AD14" i="2"/>
  <c r="AC14" i="2"/>
  <c r="AD233" i="2"/>
  <c r="AC233" i="2"/>
  <c r="K67" i="2"/>
  <c r="K43" i="2"/>
  <c r="AB165" i="2"/>
  <c r="AD112" i="2"/>
  <c r="AC112" i="2"/>
  <c r="AB182" i="2"/>
  <c r="AB69" i="2"/>
  <c r="AB67" i="2"/>
  <c r="AD144" i="2"/>
  <c r="AC144" i="2"/>
  <c r="AB135" i="2"/>
  <c r="AD15" i="2"/>
  <c r="AC15" i="2"/>
  <c r="AB70" i="2"/>
  <c r="AD195" i="2"/>
  <c r="AC195" i="2"/>
  <c r="BE54" i="2"/>
  <c r="AB172" i="2"/>
  <c r="AB46" i="2"/>
  <c r="AB167" i="2"/>
  <c r="AB60" i="2"/>
  <c r="AB120" i="2"/>
  <c r="AD76" i="2"/>
  <c r="AC76" i="2"/>
  <c r="AD171" i="2"/>
  <c r="AD26" i="2"/>
  <c r="AC26" i="2"/>
  <c r="AD176" i="2"/>
  <c r="AC176" i="2"/>
  <c r="AD22" i="2"/>
  <c r="AC22" i="2"/>
  <c r="AB76" i="2"/>
  <c r="AB66" i="2"/>
  <c r="AD180" i="2"/>
  <c r="AD123" i="2"/>
  <c r="AC123" i="2"/>
  <c r="AB73" i="2"/>
  <c r="AD63" i="2"/>
  <c r="AD196" i="2"/>
  <c r="AC196" i="2"/>
  <c r="AB23" i="2"/>
  <c r="AZ12" i="2"/>
  <c r="AB124" i="2"/>
  <c r="AB49" i="2"/>
  <c r="AB194" i="2"/>
  <c r="AB20" i="2"/>
  <c r="AD165" i="2"/>
  <c r="AC165" i="2"/>
  <c r="AB198" i="2"/>
  <c r="BD55" i="2"/>
  <c r="AD128" i="2"/>
  <c r="AC128" i="2"/>
  <c r="AB63" i="2"/>
  <c r="AB7" i="2"/>
  <c r="AB61" i="2"/>
  <c r="AB82" i="2"/>
  <c r="AD69" i="2"/>
  <c r="AC69" i="2"/>
  <c r="AB26" i="2"/>
  <c r="AB136" i="2"/>
  <c r="AB126" i="2"/>
  <c r="AD24" i="2"/>
  <c r="AC24" i="2"/>
  <c r="AB139" i="2"/>
  <c r="AB144" i="2"/>
  <c r="AB190" i="2"/>
  <c r="AD92" i="2"/>
  <c r="AC92" i="2"/>
  <c r="AD91" i="2"/>
  <c r="AB121" i="2"/>
  <c r="AB113" i="2"/>
  <c r="AB13" i="2"/>
  <c r="AD161" i="2"/>
  <c r="AC161" i="2"/>
  <c r="AD151" i="2"/>
  <c r="AC151" i="2"/>
  <c r="AD186" i="2"/>
  <c r="AD35" i="2"/>
  <c r="AC35" i="2"/>
  <c r="AD50" i="2"/>
  <c r="AC50" i="2"/>
  <c r="AD84" i="2"/>
  <c r="AB27" i="2"/>
  <c r="AB53" i="2"/>
  <c r="AB22" i="2"/>
  <c r="AD27" i="2"/>
  <c r="AC27" i="2"/>
  <c r="AB37" i="2"/>
  <c r="AB116" i="2"/>
  <c r="AB142" i="2"/>
  <c r="AB34" i="2"/>
  <c r="AB175" i="2"/>
  <c r="AB72" i="2"/>
  <c r="AB51" i="2"/>
  <c r="AB238" i="2"/>
  <c r="AB3" i="2"/>
  <c r="AD132" i="2"/>
  <c r="AC132" i="2"/>
  <c r="AB33" i="2"/>
  <c r="AB185" i="2"/>
  <c r="AD51" i="2"/>
  <c r="AC51" i="2"/>
  <c r="AD121" i="2"/>
  <c r="AC121" i="2"/>
  <c r="AB146" i="2"/>
  <c r="AB56" i="2"/>
  <c r="AB191" i="2"/>
  <c r="AD169" i="2"/>
  <c r="AC169" i="2"/>
  <c r="AD235" i="2"/>
  <c r="AC235" i="2"/>
  <c r="AB24" i="2"/>
  <c r="AB145" i="2"/>
  <c r="AB143" i="2"/>
  <c r="AD55" i="2"/>
  <c r="AB77" i="2"/>
  <c r="AZ13" i="2"/>
  <c r="AB84" i="2"/>
  <c r="AD153" i="2"/>
  <c r="AC153" i="2"/>
  <c r="AB17" i="2"/>
  <c r="AB187" i="2"/>
  <c r="AB6" i="2"/>
  <c r="AD179" i="2"/>
  <c r="AB174" i="2"/>
  <c r="AB14" i="2"/>
  <c r="AD44" i="2"/>
  <c r="AC44" i="2"/>
  <c r="BA22" i="2"/>
  <c r="AB32" i="2"/>
  <c r="AD70" i="2"/>
  <c r="AC70" i="2"/>
  <c r="L59" i="2"/>
  <c r="L35" i="2"/>
  <c r="AD126" i="2"/>
  <c r="AC126" i="2"/>
  <c r="AD168" i="2"/>
  <c r="AC168" i="2"/>
  <c r="AD148" i="2"/>
  <c r="AC148" i="2"/>
  <c r="AD56" i="2"/>
  <c r="AC56" i="2"/>
  <c r="AD54" i="2"/>
  <c r="AD222" i="2"/>
  <c r="AC222" i="2"/>
  <c r="AD136" i="2"/>
  <c r="AC136" i="2"/>
  <c r="AB186" i="2"/>
  <c r="AB35" i="2"/>
  <c r="AB122" i="2"/>
  <c r="BD31" i="2"/>
  <c r="AB150" i="2"/>
  <c r="AD221" i="2"/>
  <c r="AC221" i="2"/>
  <c r="AB132" i="2"/>
  <c r="AB9" i="2"/>
  <c r="AD156" i="2"/>
  <c r="AD157" i="2"/>
  <c r="AD149" i="2"/>
  <c r="AC149" i="2"/>
  <c r="AD53" i="2"/>
  <c r="AC53" i="2"/>
  <c r="AD68" i="2"/>
  <c r="AD66" i="2"/>
  <c r="AC66" i="2"/>
  <c r="AD190" i="2"/>
  <c r="AC190" i="2"/>
  <c r="AD178" i="2"/>
  <c r="AB223" i="2"/>
  <c r="AD182" i="2"/>
  <c r="AD162" i="2"/>
  <c r="AC162" i="2"/>
  <c r="AD79" i="2"/>
  <c r="AC79" i="2"/>
  <c r="AB54" i="2"/>
  <c r="AZ54" i="2"/>
  <c r="BA13" i="2"/>
  <c r="AZ16" i="2"/>
  <c r="BC18" i="2"/>
  <c r="AZ53" i="2"/>
  <c r="AZ5" i="2"/>
  <c r="AZ11" i="2"/>
  <c r="AO11" i="2"/>
  <c r="BD18" i="2"/>
  <c r="K92" i="2"/>
  <c r="D92" i="2"/>
  <c r="E35" i="2"/>
  <c r="AZ51" i="2"/>
  <c r="AO41" i="2"/>
  <c r="AT42" i="2"/>
  <c r="AV42" i="2"/>
  <c r="BA51" i="2"/>
  <c r="AZ22" i="2"/>
  <c r="AO22" i="2"/>
  <c r="AZ24" i="2"/>
  <c r="AT15" i="2"/>
  <c r="AV15" i="2"/>
  <c r="AZ55" i="2"/>
  <c r="AZ6" i="2"/>
  <c r="C24" i="13"/>
  <c r="M29" i="6"/>
  <c r="K29" i="6"/>
  <c r="C7" i="6"/>
  <c r="C43" i="6"/>
  <c r="E21" i="6"/>
  <c r="AO13" i="2"/>
  <c r="AO42" i="2"/>
  <c r="G336" i="16"/>
  <c r="M336" i="16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/>
  <c r="BA16" i="2"/>
  <c r="BE55" i="2"/>
  <c r="AR22" i="2"/>
  <c r="M8" i="2"/>
  <c r="O8" i="2"/>
  <c r="M9" i="2"/>
  <c r="O9" i="2"/>
  <c r="M10" i="2"/>
  <c r="O10" i="2"/>
  <c r="M13" i="2"/>
  <c r="AR7" i="2"/>
  <c r="M16" i="2"/>
  <c r="O16" i="2"/>
  <c r="B9" i="2"/>
  <c r="D9" i="2"/>
  <c r="B10" i="2"/>
  <c r="D10" i="2"/>
  <c r="AT34" i="2"/>
  <c r="AV34" i="2"/>
  <c r="AT45" i="2"/>
  <c r="AV45" i="2"/>
  <c r="AO45" i="2"/>
  <c r="AO34" i="2"/>
  <c r="AT41" i="2"/>
  <c r="AT43" i="2"/>
  <c r="AQ24" i="2"/>
  <c r="E60" i="2"/>
  <c r="E36" i="2"/>
  <c r="E64" i="2"/>
  <c r="E40" i="2"/>
  <c r="AC7" i="2"/>
  <c r="M92" i="2"/>
  <c r="K38" i="2"/>
  <c r="AC40" i="2"/>
  <c r="BA23" i="2"/>
  <c r="AT22" i="2"/>
  <c r="BA11" i="2"/>
  <c r="AT11" i="2"/>
  <c r="AC185" i="2"/>
  <c r="L95" i="2"/>
  <c r="K95" i="2"/>
  <c r="D95" i="2"/>
  <c r="BE53" i="2"/>
  <c r="BD30" i="2"/>
  <c r="AZ30" i="2"/>
  <c r="BE30" i="2"/>
  <c r="BD53" i="2"/>
  <c r="AO54" i="2"/>
  <c r="AO244" i="2"/>
  <c r="B12" i="13"/>
  <c r="C21" i="6"/>
  <c r="C27" i="13"/>
  <c r="W20" i="2"/>
  <c r="H29" i="6"/>
  <c r="I158" i="10"/>
  <c r="AO241" i="2"/>
  <c r="AK504" i="2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/>
  <c r="C43" i="2"/>
  <c r="G33" i="2"/>
  <c r="E11" i="4"/>
  <c r="AR11" i="2"/>
  <c r="G40" i="2"/>
  <c r="L38" i="2"/>
  <c r="I23" i="6"/>
  <c r="I6" i="6"/>
  <c r="W22" i="2"/>
  <c r="D29" i="6"/>
  <c r="M6" i="6"/>
  <c r="F87" i="10"/>
  <c r="C122" i="10"/>
  <c r="C31" i="6"/>
  <c r="B2" i="10"/>
  <c r="AO242" i="2"/>
  <c r="AK250" i="2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C30" i="13"/>
  <c r="C52" i="6"/>
  <c r="K72" i="10"/>
  <c r="B3" i="13"/>
  <c r="F9" i="2"/>
  <c r="G9" i="2"/>
  <c r="AR41" i="2"/>
  <c r="F8" i="2"/>
  <c r="G8" i="2"/>
  <c r="AR30" i="2"/>
  <c r="F13" i="2"/>
  <c r="G13" i="2"/>
  <c r="F10" i="2"/>
  <c r="G10" i="2"/>
  <c r="AR51" i="2"/>
  <c r="N40" i="2"/>
  <c r="AC184" i="2"/>
  <c r="AQ31" i="2"/>
  <c r="C25" i="13"/>
  <c r="R3" i="2"/>
  <c r="C69" i="6"/>
  <c r="B172" i="10"/>
  <c r="AA199" i="2"/>
  <c r="R51" i="6"/>
  <c r="C59" i="6"/>
  <c r="N29" i="6"/>
  <c r="AQ5" i="2"/>
  <c r="AQ22" i="2"/>
  <c r="N36" i="2"/>
  <c r="AQ32" i="2"/>
  <c r="AQ30" i="2"/>
  <c r="AQ11" i="2"/>
  <c r="AC39" i="2"/>
  <c r="AT24" i="2"/>
  <c r="AC58" i="2"/>
  <c r="BA54" i="2"/>
  <c r="B58" i="2"/>
  <c r="B34" i="2"/>
  <c r="K94" i="2"/>
  <c r="D94" i="2"/>
  <c r="N58" i="2"/>
  <c r="N34" i="2"/>
  <c r="L93" i="2"/>
  <c r="K93" i="2"/>
  <c r="D93" i="2"/>
  <c r="B60" i="2"/>
  <c r="C60" i="2"/>
  <c r="C36" i="2"/>
  <c r="L67" i="2"/>
  <c r="L43" i="2"/>
  <c r="AC12" i="2"/>
  <c r="AT7" i="2"/>
  <c r="D41" i="2"/>
  <c r="N43" i="2"/>
  <c r="I49" i="2"/>
  <c r="F11" i="4"/>
  <c r="G35" i="2"/>
  <c r="F33" i="2"/>
  <c r="G34" i="2"/>
  <c r="D49" i="2"/>
  <c r="K35" i="2"/>
  <c r="G41" i="2"/>
  <c r="F82" i="2"/>
  <c r="G82" i="2"/>
  <c r="F15" i="2"/>
  <c r="G15" i="2"/>
  <c r="G96" i="2"/>
  <c r="H96" i="2"/>
  <c r="F121" i="2"/>
  <c r="G121" i="2"/>
  <c r="F80" i="2"/>
  <c r="G80" i="2"/>
  <c r="G94" i="2"/>
  <c r="H94" i="2"/>
  <c r="R9" i="6"/>
  <c r="AY32" i="2"/>
  <c r="AR32" i="2"/>
  <c r="G93" i="2"/>
  <c r="H93" i="2"/>
  <c r="F81" i="2"/>
  <c r="G81" i="2"/>
  <c r="B8" i="2"/>
  <c r="D8" i="2"/>
  <c r="G101" i="2"/>
  <c r="H101" i="2"/>
  <c r="F12" i="2"/>
  <c r="G12" i="2"/>
  <c r="F14" i="2"/>
  <c r="G14" i="2"/>
  <c r="AR53" i="2"/>
  <c r="I25" i="2"/>
  <c r="AY43" i="2"/>
  <c r="AR43" i="2"/>
  <c r="K20" i="2"/>
  <c r="AR14" i="2"/>
  <c r="G99" i="2"/>
  <c r="H99" i="2"/>
  <c r="B13" i="2"/>
  <c r="D13" i="2"/>
  <c r="F120" i="2"/>
  <c r="G120" i="2"/>
  <c r="F85" i="2"/>
  <c r="G85" i="2"/>
  <c r="G105" i="2"/>
  <c r="H105" i="2"/>
  <c r="F83" i="2"/>
  <c r="G83" i="2"/>
  <c r="G100" i="2"/>
  <c r="H100" i="2"/>
  <c r="G104" i="2"/>
  <c r="B16" i="2"/>
  <c r="D16" i="2"/>
  <c r="N25" i="2"/>
  <c r="O25" i="2"/>
  <c r="C21" i="2"/>
  <c r="D21" i="2"/>
  <c r="G103" i="2"/>
  <c r="F79" i="2"/>
  <c r="G79" i="2"/>
  <c r="F122" i="2"/>
  <c r="G122" i="2"/>
  <c r="F16" i="2"/>
  <c r="G16" i="2"/>
  <c r="I22" i="2"/>
  <c r="C22" i="2"/>
  <c r="D22" i="2"/>
  <c r="G106" i="2"/>
  <c r="H106" i="2"/>
  <c r="G95" i="2"/>
  <c r="H95" i="2"/>
  <c r="G97" i="2"/>
  <c r="H97" i="2"/>
  <c r="N26" i="2"/>
  <c r="F84" i="2"/>
  <c r="G84" i="2"/>
  <c r="F11" i="2"/>
  <c r="G11" i="2"/>
  <c r="G107" i="2"/>
  <c r="H107" i="2"/>
  <c r="G92" i="2"/>
  <c r="H92" i="2"/>
  <c r="K22" i="2"/>
  <c r="N22" i="2"/>
  <c r="O22" i="2"/>
  <c r="C20" i="2"/>
  <c r="D20" i="2"/>
  <c r="K21" i="2"/>
  <c r="K25" i="2"/>
  <c r="G102" i="2"/>
  <c r="H102" i="2"/>
  <c r="N20" i="2"/>
  <c r="O20" i="2"/>
  <c r="I20" i="2"/>
  <c r="AR26" i="2"/>
  <c r="G98" i="2"/>
  <c r="H98" i="2"/>
  <c r="F123" i="2"/>
  <c r="G123" i="2"/>
  <c r="C25" i="2"/>
  <c r="D25" i="2"/>
  <c r="G108" i="2"/>
  <c r="H108" i="2"/>
  <c r="I21" i="2"/>
  <c r="F86" i="2"/>
  <c r="G86" i="2"/>
  <c r="N21" i="2"/>
  <c r="O21" i="2"/>
  <c r="J37" i="2"/>
  <c r="J35" i="2"/>
  <c r="J41" i="2"/>
  <c r="J85" i="2"/>
  <c r="K107" i="2"/>
  <c r="D107" i="2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/>
  <c r="G36" i="2"/>
  <c r="D41" i="4"/>
  <c r="F48" i="2"/>
  <c r="D34" i="2"/>
  <c r="G48" i="2"/>
  <c r="N41" i="2"/>
  <c r="L45" i="2"/>
  <c r="C54" i="6"/>
  <c r="B11" i="13"/>
  <c r="W15" i="2"/>
  <c r="I13" i="6"/>
  <c r="O69" i="6"/>
  <c r="C40" i="6"/>
  <c r="C31" i="13"/>
  <c r="N6" i="6"/>
  <c r="N42" i="2"/>
  <c r="K108" i="2"/>
  <c r="D108" i="2"/>
  <c r="E34" i="2"/>
  <c r="G49" i="2"/>
  <c r="H49" i="2"/>
  <c r="C44" i="2"/>
  <c r="L34" i="2"/>
  <c r="D36" i="2"/>
  <c r="M106" i="2"/>
  <c r="K106" i="2"/>
  <c r="D106" i="2"/>
  <c r="AC84" i="2"/>
  <c r="BA24" i="2"/>
  <c r="H72" i="2"/>
  <c r="K60" i="2"/>
  <c r="AC63" i="2"/>
  <c r="BA55" i="2"/>
  <c r="K64" i="2"/>
  <c r="AC55" i="2"/>
  <c r="B59" i="2"/>
  <c r="AC91" i="2"/>
  <c r="BA6" i="2"/>
  <c r="J63" i="2"/>
  <c r="AC171" i="2"/>
  <c r="AT52" i="2"/>
  <c r="C73" i="2"/>
  <c r="C72" i="2"/>
  <c r="AC34" i="2"/>
  <c r="AT13" i="2"/>
  <c r="L99" i="2"/>
  <c r="AK409" i="2"/>
  <c r="D57" i="2"/>
  <c r="D33" i="2"/>
  <c r="AC179" i="2"/>
  <c r="L104" i="2"/>
  <c r="AC113" i="2"/>
  <c r="BA5" i="2"/>
  <c r="B57" i="2"/>
  <c r="K100" i="2"/>
  <c r="D100" i="2"/>
  <c r="L101" i="2"/>
  <c r="M100" i="2"/>
  <c r="AC127" i="2"/>
  <c r="N57" i="2"/>
  <c r="N33" i="2"/>
  <c r="L102" i="2"/>
  <c r="AC186" i="2"/>
  <c r="AC180" i="2"/>
  <c r="L105" i="2"/>
  <c r="D64" i="2"/>
  <c r="D40" i="2"/>
  <c r="D59" i="2"/>
  <c r="D35" i="2"/>
  <c r="AC23" i="2"/>
  <c r="BA12" i="2"/>
  <c r="AK317" i="2"/>
  <c r="AK402" i="2"/>
  <c r="AK434" i="2"/>
  <c r="K61" i="2"/>
  <c r="AC68" i="2"/>
  <c r="BA56" i="2"/>
  <c r="AC156" i="2"/>
  <c r="D67" i="2"/>
  <c r="D43" i="2"/>
  <c r="L66" i="2"/>
  <c r="L42" i="2"/>
  <c r="K42" i="2"/>
  <c r="L103" i="2"/>
  <c r="AC178" i="2"/>
  <c r="K65" i="2"/>
  <c r="AC54" i="2"/>
  <c r="L96" i="2"/>
  <c r="AC182" i="2"/>
  <c r="J57" i="2"/>
  <c r="AC157" i="2"/>
  <c r="AK441" i="2"/>
  <c r="BA53" i="2"/>
  <c r="BA18" i="2"/>
  <c r="AO5" i="2"/>
  <c r="AK292" i="2"/>
  <c r="AK467" i="2"/>
  <c r="AZ18" i="2"/>
  <c r="AO16" i="2"/>
  <c r="AT54" i="2"/>
  <c r="AV54" i="2"/>
  <c r="T41" i="6"/>
  <c r="I19" i="6"/>
  <c r="I44" i="10"/>
  <c r="C7" i="10"/>
  <c r="D44" i="10"/>
  <c r="K8" i="10"/>
  <c r="G8" i="10"/>
  <c r="S51" i="6"/>
  <c r="Q51" i="6"/>
  <c r="P51" i="6" s="1"/>
  <c r="AK433" i="2"/>
  <c r="AR25" i="2"/>
  <c r="BA27" i="2"/>
  <c r="AT26" i="2"/>
  <c r="AV26" i="2"/>
  <c r="G170" i="16"/>
  <c r="M170" i="16" s="1"/>
  <c r="G166" i="16"/>
  <c r="M166" i="16" s="1"/>
  <c r="G162" i="16"/>
  <c r="M162" i="16"/>
  <c r="G164" i="16"/>
  <c r="M164" i="16" s="1"/>
  <c r="G169" i="16"/>
  <c r="M169" i="16"/>
  <c r="G165" i="16"/>
  <c r="M165" i="16" s="1"/>
  <c r="G168" i="16"/>
  <c r="M168" i="16" s="1"/>
  <c r="G167" i="16"/>
  <c r="M167" i="16" s="1"/>
  <c r="G163" i="16"/>
  <c r="M163" i="16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/>
  <c r="G254" i="16"/>
  <c r="M254" i="16" s="1"/>
  <c r="G174" i="16"/>
  <c r="M174" i="16"/>
  <c r="G14" i="16"/>
  <c r="M14" i="16" s="1"/>
  <c r="G176" i="16"/>
  <c r="M176" i="16" s="1"/>
  <c r="G17" i="16"/>
  <c r="M17" i="16" s="1"/>
  <c r="G257" i="16"/>
  <c r="M257" i="16"/>
  <c r="G256" i="16"/>
  <c r="M256" i="16" s="1"/>
  <c r="G16" i="16"/>
  <c r="M16" i="16"/>
  <c r="G177" i="16"/>
  <c r="M177" i="16" s="1"/>
  <c r="G186" i="16"/>
  <c r="M186" i="16" s="1"/>
  <c r="G193" i="16"/>
  <c r="M193" i="16" s="1"/>
  <c r="G188" i="16"/>
  <c r="M188" i="16"/>
  <c r="G184" i="16"/>
  <c r="M184" i="16" s="1"/>
  <c r="G180" i="16"/>
  <c r="M180" i="16"/>
  <c r="G182" i="16"/>
  <c r="M182" i="16" s="1"/>
  <c r="G192" i="16"/>
  <c r="M192" i="16" s="1"/>
  <c r="G187" i="16"/>
  <c r="M187" i="16" s="1"/>
  <c r="G183" i="16"/>
  <c r="M183" i="16"/>
  <c r="G179" i="16"/>
  <c r="M179" i="16" s="1"/>
  <c r="G191" i="16"/>
  <c r="M191" i="16"/>
  <c r="G178" i="16"/>
  <c r="M178" i="16" s="1"/>
  <c r="G190" i="16"/>
  <c r="M190" i="16" s="1"/>
  <c r="G185" i="16"/>
  <c r="M185" i="16" s="1"/>
  <c r="G181" i="16"/>
  <c r="M181" i="16"/>
  <c r="G391" i="16"/>
  <c r="M391" i="16" s="1"/>
  <c r="G399" i="16"/>
  <c r="M399" i="16"/>
  <c r="G393" i="16"/>
  <c r="M393" i="16" s="1"/>
  <c r="G389" i="16"/>
  <c r="M389" i="16" s="1"/>
  <c r="G321" i="16"/>
  <c r="M321" i="16" s="1"/>
  <c r="G315" i="16"/>
  <c r="M315" i="16"/>
  <c r="G311" i="16"/>
  <c r="M311" i="16" s="1"/>
  <c r="G307" i="16"/>
  <c r="M307" i="16"/>
  <c r="G395" i="16"/>
  <c r="M395" i="16" s="1"/>
  <c r="G319" i="16"/>
  <c r="M319" i="16" s="1"/>
  <c r="G309" i="16"/>
  <c r="M309" i="16" s="1"/>
  <c r="G398" i="16"/>
  <c r="M398" i="16"/>
  <c r="G392" i="16"/>
  <c r="M392" i="16" s="1"/>
  <c r="G388" i="16"/>
  <c r="M388" i="16"/>
  <c r="G320" i="16"/>
  <c r="M320" i="16" s="1"/>
  <c r="G314" i="16"/>
  <c r="M314" i="16" s="1"/>
  <c r="G310" i="16"/>
  <c r="M310" i="16" s="1"/>
  <c r="G306" i="16"/>
  <c r="M306" i="16"/>
  <c r="G401" i="16"/>
  <c r="M401" i="16" s="1"/>
  <c r="G387" i="16"/>
  <c r="M387" i="16"/>
  <c r="G313" i="16"/>
  <c r="M313" i="16" s="1"/>
  <c r="G390" i="16"/>
  <c r="M390" i="16" s="1"/>
  <c r="G308" i="16"/>
  <c r="M308" i="16" s="1"/>
  <c r="G386" i="16"/>
  <c r="M386" i="16"/>
  <c r="G400" i="16"/>
  <c r="M400" i="16" s="1"/>
  <c r="G318" i="16"/>
  <c r="M318" i="16"/>
  <c r="G394" i="16"/>
  <c r="M394" i="16" s="1"/>
  <c r="G312" i="16"/>
  <c r="M312" i="16" s="1"/>
  <c r="G233" i="16"/>
  <c r="M233" i="16" s="1"/>
  <c r="G229" i="16"/>
  <c r="M229" i="16"/>
  <c r="G231" i="16"/>
  <c r="M231" i="16" s="1"/>
  <c r="G227" i="16"/>
  <c r="M227" i="16"/>
  <c r="G232" i="16"/>
  <c r="M232" i="16" s="1"/>
  <c r="G228" i="16"/>
  <c r="M228" i="16" s="1"/>
  <c r="G235" i="16"/>
  <c r="M235" i="16" s="1"/>
  <c r="G234" i="16"/>
  <c r="M234" i="16"/>
  <c r="G230" i="16"/>
  <c r="M230" i="16" s="1"/>
  <c r="G226" i="16"/>
  <c r="M226" i="16"/>
  <c r="AK278" i="2"/>
  <c r="AK427" i="2"/>
  <c r="AK437" i="2"/>
  <c r="B151" i="10"/>
  <c r="G364" i="16"/>
  <c r="M364" i="16" s="1"/>
  <c r="G252" i="16"/>
  <c r="M252" i="16"/>
  <c r="G156" i="16"/>
  <c r="M156" i="16" s="1"/>
  <c r="G44" i="16"/>
  <c r="M44" i="16"/>
  <c r="G332" i="16"/>
  <c r="M332" i="16" s="1"/>
  <c r="G236" i="16"/>
  <c r="M236" i="16" s="1"/>
  <c r="G124" i="16"/>
  <c r="M124" i="16" s="1"/>
  <c r="G12" i="16"/>
  <c r="M12" i="16"/>
  <c r="G284" i="16"/>
  <c r="M284" i="16" s="1"/>
  <c r="G76" i="16"/>
  <c r="M76" i="16"/>
  <c r="G204" i="16"/>
  <c r="M204" i="16" s="1"/>
  <c r="G92" i="16"/>
  <c r="M92" i="16" s="1"/>
  <c r="G396" i="16"/>
  <c r="M396" i="16" s="1"/>
  <c r="G172" i="16"/>
  <c r="M172" i="16"/>
  <c r="G316" i="16"/>
  <c r="M316" i="16" s="1"/>
  <c r="G445" i="16"/>
  <c r="M445" i="16"/>
  <c r="G381" i="16"/>
  <c r="M381" i="16" s="1"/>
  <c r="G317" i="16"/>
  <c r="M317" i="16"/>
  <c r="G237" i="16"/>
  <c r="M237" i="16" s="1"/>
  <c r="G173" i="16"/>
  <c r="M173" i="16" s="1"/>
  <c r="G109" i="16"/>
  <c r="M109" i="16" s="1"/>
  <c r="G45" i="16"/>
  <c r="M45" i="16"/>
  <c r="G429" i="16"/>
  <c r="M429" i="16" s="1"/>
  <c r="G365" i="16"/>
  <c r="M365" i="16"/>
  <c r="G301" i="16"/>
  <c r="M301" i="16" s="1"/>
  <c r="G221" i="16"/>
  <c r="M221" i="16" s="1"/>
  <c r="G157" i="16"/>
  <c r="M157" i="16" s="1"/>
  <c r="G93" i="16"/>
  <c r="M93" i="16"/>
  <c r="G29" i="16"/>
  <c r="M29" i="16" s="1"/>
  <c r="G461" i="16"/>
  <c r="M461" i="16"/>
  <c r="G333" i="16"/>
  <c r="M333" i="16" s="1"/>
  <c r="G189" i="16"/>
  <c r="M189" i="16" s="1"/>
  <c r="G61" i="16"/>
  <c r="M61" i="16" s="1"/>
  <c r="G413" i="16"/>
  <c r="M413" i="16"/>
  <c r="G285" i="16"/>
  <c r="M285" i="16" s="1"/>
  <c r="G141" i="16"/>
  <c r="M141" i="16"/>
  <c r="G477" i="16"/>
  <c r="M477" i="16" s="1"/>
  <c r="G77" i="16"/>
  <c r="M77" i="16" s="1"/>
  <c r="G13" i="16"/>
  <c r="M13" i="16" s="1"/>
  <c r="G205" i="16"/>
  <c r="M205" i="16"/>
  <c r="G397" i="16"/>
  <c r="M397" i="16" s="1"/>
  <c r="G253" i="16"/>
  <c r="M253" i="16"/>
  <c r="G125" i="16"/>
  <c r="M125" i="16" s="1"/>
  <c r="G349" i="16"/>
  <c r="M349" i="16" s="1"/>
  <c r="G473" i="16"/>
  <c r="M473" i="16" s="1"/>
  <c r="G481" i="16"/>
  <c r="M481" i="16"/>
  <c r="G476" i="16"/>
  <c r="M476" i="16" s="1"/>
  <c r="G472" i="16"/>
  <c r="M472" i="16"/>
  <c r="G468" i="16"/>
  <c r="M468" i="16" s="1"/>
  <c r="G464" i="16"/>
  <c r="M464" i="16" s="1"/>
  <c r="G459" i="16"/>
  <c r="M459" i="16" s="1"/>
  <c r="G455" i="16"/>
  <c r="M455" i="16"/>
  <c r="G451" i="16"/>
  <c r="M451" i="16" s="1"/>
  <c r="G447" i="16"/>
  <c r="M447" i="16"/>
  <c r="G442" i="16"/>
  <c r="M442" i="16" s="1"/>
  <c r="G438" i="16"/>
  <c r="M438" i="16" s="1"/>
  <c r="G434" i="16"/>
  <c r="M434" i="16" s="1"/>
  <c r="G430" i="16"/>
  <c r="M430" i="16"/>
  <c r="G480" i="16"/>
  <c r="M480" i="16" s="1"/>
  <c r="G475" i="16"/>
  <c r="M475" i="16"/>
  <c r="G471" i="16"/>
  <c r="M471" i="16" s="1"/>
  <c r="G467" i="16"/>
  <c r="M467" i="16" s="1"/>
  <c r="G463" i="16"/>
  <c r="M463" i="16" s="1"/>
  <c r="G458" i="16"/>
  <c r="M458" i="16"/>
  <c r="G454" i="16"/>
  <c r="M454" i="16" s="1"/>
  <c r="G450" i="16"/>
  <c r="M450" i="16"/>
  <c r="G446" i="16"/>
  <c r="M446" i="16" s="1"/>
  <c r="G441" i="16"/>
  <c r="M441" i="16" s="1"/>
  <c r="G437" i="16"/>
  <c r="M437" i="16" s="1"/>
  <c r="G433" i="16"/>
  <c r="M433" i="16"/>
  <c r="G428" i="16"/>
  <c r="M428" i="16" s="1"/>
  <c r="G424" i="16"/>
  <c r="M424" i="16"/>
  <c r="G420" i="16"/>
  <c r="M420" i="16" s="1"/>
  <c r="G416" i="16"/>
  <c r="M416" i="16" s="1"/>
  <c r="G411" i="16"/>
  <c r="M411" i="16" s="1"/>
  <c r="G407" i="16"/>
  <c r="M407" i="16"/>
  <c r="G403" i="16"/>
  <c r="M403" i="16" s="1"/>
  <c r="G478" i="16"/>
  <c r="M478" i="16"/>
  <c r="G469" i="16"/>
  <c r="M469" i="16" s="1"/>
  <c r="G465" i="16"/>
  <c r="M465" i="16" s="1"/>
  <c r="G460" i="16"/>
  <c r="M460" i="16" s="1"/>
  <c r="G456" i="16"/>
  <c r="M456" i="16"/>
  <c r="G452" i="16"/>
  <c r="M452" i="16" s="1"/>
  <c r="G443" i="16"/>
  <c r="M443" i="16"/>
  <c r="G439" i="16"/>
  <c r="M439" i="16" s="1"/>
  <c r="G431" i="16"/>
  <c r="M431" i="16" s="1"/>
  <c r="G422" i="16"/>
  <c r="M422" i="16" s="1"/>
  <c r="G414" i="16"/>
  <c r="M414" i="16"/>
  <c r="G405" i="16"/>
  <c r="M405" i="16" s="1"/>
  <c r="G479" i="16"/>
  <c r="M479" i="16"/>
  <c r="G474" i="16"/>
  <c r="M474" i="16" s="1"/>
  <c r="G470" i="16"/>
  <c r="M470" i="16" s="1"/>
  <c r="G466" i="16"/>
  <c r="M466" i="16" s="1"/>
  <c r="G462" i="16"/>
  <c r="M462" i="16"/>
  <c r="G457" i="16"/>
  <c r="M457" i="16" s="1"/>
  <c r="G453" i="16"/>
  <c r="M453" i="16"/>
  <c r="G449" i="16"/>
  <c r="M449" i="16" s="1"/>
  <c r="G444" i="16"/>
  <c r="M444" i="16" s="1"/>
  <c r="G440" i="16"/>
  <c r="M440" i="16" s="1"/>
  <c r="G436" i="16"/>
  <c r="M436" i="16"/>
  <c r="G432" i="16"/>
  <c r="M432" i="16" s="1"/>
  <c r="G427" i="16"/>
  <c r="M427" i="16"/>
  <c r="G423" i="16"/>
  <c r="M423" i="16" s="1"/>
  <c r="G419" i="16"/>
  <c r="M419" i="16" s="1"/>
  <c r="G415" i="16"/>
  <c r="M415" i="16" s="1"/>
  <c r="G410" i="16"/>
  <c r="M410" i="16"/>
  <c r="G406" i="16"/>
  <c r="M406" i="16" s="1"/>
  <c r="G402" i="16"/>
  <c r="M402" i="16"/>
  <c r="G448" i="16"/>
  <c r="M448" i="16" s="1"/>
  <c r="G435" i="16"/>
  <c r="M435" i="16" s="1"/>
  <c r="G426" i="16"/>
  <c r="M426" i="16" s="1"/>
  <c r="G418" i="16"/>
  <c r="M418" i="16"/>
  <c r="G409" i="16"/>
  <c r="M409" i="16" s="1"/>
  <c r="G425" i="16"/>
  <c r="M425" i="16"/>
  <c r="G408" i="16"/>
  <c r="M408" i="16" s="1"/>
  <c r="G421" i="16"/>
  <c r="M421" i="16" s="1"/>
  <c r="G404" i="16"/>
  <c r="M404" i="16" s="1"/>
  <c r="G417" i="16"/>
  <c r="M417" i="16"/>
  <c r="G412" i="16"/>
  <c r="M412" i="16" s="1"/>
  <c r="G118" i="16"/>
  <c r="M118" i="16"/>
  <c r="G358" i="16"/>
  <c r="M358" i="16" s="1"/>
  <c r="G38" i="16"/>
  <c r="M38" i="16" s="1"/>
  <c r="G198" i="16"/>
  <c r="M198" i="16" s="1"/>
  <c r="G278" i="16"/>
  <c r="M278" i="16"/>
  <c r="AK431" i="2"/>
  <c r="AK416" i="2"/>
  <c r="AK274" i="2"/>
  <c r="AK463" i="2"/>
  <c r="AK352" i="2"/>
  <c r="AK449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128" i="16"/>
  <c r="D288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295" i="16"/>
  <c r="D55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Q55" i="2"/>
  <c r="AO24" i="2"/>
  <c r="AK273" i="2"/>
  <c r="B18" i="13"/>
  <c r="AK326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/>
  <c r="AQ33" i="2"/>
  <c r="AQ35" i="2" s="1"/>
  <c r="AQ44" i="2"/>
  <c r="AQ46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O53" i="2"/>
  <c r="AO33" i="2"/>
  <c r="AO35" i="2"/>
  <c r="W12" i="2"/>
  <c r="M163" i="10"/>
  <c r="AV7" i="2"/>
  <c r="AR12" i="2"/>
  <c r="AR18" i="2"/>
  <c r="AV18" i="2"/>
  <c r="AR13" i="2"/>
  <c r="AV13" i="2"/>
  <c r="AR24" i="2"/>
  <c r="AV24" i="2"/>
  <c r="BA52" i="2"/>
  <c r="BA31" i="2"/>
  <c r="F77" i="4"/>
  <c r="BA30" i="2"/>
  <c r="AO51" i="2"/>
  <c r="BA17" i="2"/>
  <c r="BA19" i="2"/>
  <c r="AQ16" i="2"/>
  <c r="AR6" i="2"/>
  <c r="G41" i="4"/>
  <c r="J45" i="1"/>
  <c r="M95" i="2"/>
  <c r="F31" i="4"/>
  <c r="G87" i="4"/>
  <c r="G43" i="4"/>
  <c r="J47" i="1"/>
  <c r="AO25" i="2"/>
  <c r="AO14" i="2"/>
  <c r="D11" i="4"/>
  <c r="L68" i="2"/>
  <c r="L44" i="2"/>
  <c r="G11" i="4"/>
  <c r="I163" i="10"/>
  <c r="I15" i="6"/>
  <c r="B173" i="10"/>
  <c r="C104" i="10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276" i="2"/>
  <c r="AK376" i="2"/>
  <c r="AK377" i="2"/>
  <c r="R11" i="2"/>
  <c r="AR52" i="2"/>
  <c r="AR23" i="2"/>
  <c r="AV23" i="2"/>
  <c r="AT5" i="2"/>
  <c r="AV41" i="2"/>
  <c r="A111" i="2"/>
  <c r="D115" i="2"/>
  <c r="G62" i="1"/>
  <c r="AS25" i="2"/>
  <c r="AS14" i="2"/>
  <c r="AO32" i="2"/>
  <c r="AO30" i="2"/>
  <c r="B14" i="13"/>
  <c r="C9" i="6"/>
  <c r="AO31" i="2"/>
  <c r="O13" i="2"/>
  <c r="H30" i="4"/>
  <c r="AV43" i="2"/>
  <c r="C58" i="2"/>
  <c r="C34" i="2"/>
  <c r="G20" i="4"/>
  <c r="M93" i="2"/>
  <c r="E69" i="4"/>
  <c r="D58" i="4"/>
  <c r="E59" i="4"/>
  <c r="H32" i="4"/>
  <c r="H42" i="4"/>
  <c r="B36" i="2"/>
  <c r="F43" i="4"/>
  <c r="K47" i="1"/>
  <c r="D12" i="4"/>
  <c r="G58" i="4"/>
  <c r="D42" i="4"/>
  <c r="E42" i="4"/>
  <c r="E88" i="4"/>
  <c r="D88" i="4"/>
  <c r="E12" i="4"/>
  <c r="E58" i="4"/>
  <c r="E89" i="4"/>
  <c r="F42" i="4"/>
  <c r="K46" i="1"/>
  <c r="E33" i="4"/>
  <c r="B88" i="2"/>
  <c r="D88" i="2"/>
  <c r="C88" i="2"/>
  <c r="F88" i="2"/>
  <c r="G88" i="2"/>
  <c r="E79" i="4"/>
  <c r="G12" i="4"/>
  <c r="B2" i="13"/>
  <c r="G22" i="4"/>
  <c r="D22" i="4"/>
  <c r="E22" i="4"/>
  <c r="A117" i="2"/>
  <c r="A64" i="1"/>
  <c r="D117" i="2"/>
  <c r="G64" i="1"/>
  <c r="C117" i="2"/>
  <c r="E64" i="1"/>
  <c r="D77" i="4"/>
  <c r="D87" i="4"/>
  <c r="C45" i="1"/>
  <c r="H87" i="4"/>
  <c r="D57" i="4"/>
  <c r="D67" i="4"/>
  <c r="C112" i="2"/>
  <c r="E60" i="1"/>
  <c r="A112" i="2"/>
  <c r="A60" i="1"/>
  <c r="A110" i="2"/>
  <c r="C110" i="2"/>
  <c r="C87" i="2"/>
  <c r="A87" i="2"/>
  <c r="G87" i="2"/>
  <c r="B87" i="2"/>
  <c r="F87" i="2"/>
  <c r="D87" i="2"/>
  <c r="A114" i="2"/>
  <c r="A61" i="1"/>
  <c r="C114" i="2"/>
  <c r="E61" i="1"/>
  <c r="H77" i="4"/>
  <c r="F57" i="4"/>
  <c r="H24" i="1"/>
  <c r="AV22" i="2"/>
  <c r="G31" i="4"/>
  <c r="D31" i="4"/>
  <c r="E31" i="4"/>
  <c r="F158" i="10"/>
  <c r="W5" i="2"/>
  <c r="E77" i="4"/>
  <c r="E87" i="4"/>
  <c r="E57" i="4"/>
  <c r="F24" i="1"/>
  <c r="E67" i="4"/>
  <c r="G77" i="4"/>
  <c r="G67" i="4"/>
  <c r="F126" i="2"/>
  <c r="F55" i="1"/>
  <c r="B126" i="2"/>
  <c r="A55" i="1"/>
  <c r="C126" i="2"/>
  <c r="C55" i="1"/>
  <c r="D126" i="2"/>
  <c r="D55" i="1"/>
  <c r="G126" i="2"/>
  <c r="G55" i="1"/>
  <c r="E13" i="4"/>
  <c r="R5" i="2"/>
  <c r="G124" i="10"/>
  <c r="F88" i="4"/>
  <c r="A115" i="2"/>
  <c r="A62" i="1"/>
  <c r="C115" i="2"/>
  <c r="E62" i="1"/>
  <c r="F87" i="4"/>
  <c r="F41" i="4"/>
  <c r="K45" i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/>
  <c r="C116" i="2"/>
  <c r="E63" i="1"/>
  <c r="A116" i="2"/>
  <c r="A63" i="1"/>
  <c r="D111" i="2"/>
  <c r="C111" i="2"/>
  <c r="D68" i="4"/>
  <c r="C49" i="2"/>
  <c r="E73" i="2"/>
  <c r="E49" i="2"/>
  <c r="G42" i="4"/>
  <c r="J46" i="1"/>
  <c r="F78" i="4"/>
  <c r="F32" i="4"/>
  <c r="M102" i="2"/>
  <c r="K102" i="2"/>
  <c r="D102" i="2"/>
  <c r="D112" i="2"/>
  <c r="G60" i="1"/>
  <c r="K104" i="2"/>
  <c r="D104" i="2"/>
  <c r="M104" i="2"/>
  <c r="M99" i="2"/>
  <c r="K99" i="2"/>
  <c r="D99" i="2"/>
  <c r="G88" i="4"/>
  <c r="K105" i="2"/>
  <c r="D105" i="2"/>
  <c r="D114" i="2"/>
  <c r="G61" i="1"/>
  <c r="M105" i="2"/>
  <c r="J39" i="2"/>
  <c r="L63" i="2"/>
  <c r="L39" i="2"/>
  <c r="B35" i="2"/>
  <c r="C59" i="2"/>
  <c r="C35" i="2"/>
  <c r="D78" i="4"/>
  <c r="D32" i="4"/>
  <c r="G32" i="4"/>
  <c r="E78" i="4"/>
  <c r="E32" i="4"/>
  <c r="G78" i="4"/>
  <c r="M101" i="2"/>
  <c r="K101" i="2"/>
  <c r="D101" i="2"/>
  <c r="K40" i="2"/>
  <c r="L64" i="2"/>
  <c r="L40" i="2"/>
  <c r="H48" i="2"/>
  <c r="I72" i="2"/>
  <c r="I48" i="2"/>
  <c r="C57" i="2"/>
  <c r="C33" i="2"/>
  <c r="B33" i="2"/>
  <c r="AV33" i="2"/>
  <c r="AV35" i="2" s="1"/>
  <c r="C48" i="2"/>
  <c r="E72" i="2"/>
  <c r="E48" i="2"/>
  <c r="K36" i="2"/>
  <c r="L60" i="2"/>
  <c r="L36" i="2"/>
  <c r="K41" i="2"/>
  <c r="L65" i="2"/>
  <c r="L41" i="2"/>
  <c r="H76" i="4"/>
  <c r="F86" i="4"/>
  <c r="H86" i="4"/>
  <c r="D40" i="4"/>
  <c r="D86" i="4"/>
  <c r="F40" i="4"/>
  <c r="H40" i="4"/>
  <c r="E40" i="4"/>
  <c r="E86" i="4"/>
  <c r="K96" i="2"/>
  <c r="D96" i="2"/>
  <c r="M96" i="2"/>
  <c r="L97" i="2"/>
  <c r="L57" i="2"/>
  <c r="L33" i="2"/>
  <c r="J33" i="2"/>
  <c r="M103" i="2"/>
  <c r="K103" i="2"/>
  <c r="D103" i="2"/>
  <c r="K37" i="2"/>
  <c r="L61" i="2"/>
  <c r="L37" i="2"/>
  <c r="I45" i="1"/>
  <c r="J25" i="1"/>
  <c r="AT16" i="2"/>
  <c r="D434" i="16"/>
  <c r="AV11" i="2"/>
  <c r="W3" i="16"/>
  <c r="D110" i="2"/>
  <c r="G59" i="1"/>
  <c r="K48" i="1"/>
  <c r="D338" i="16"/>
  <c r="K338" i="16" s="1"/>
  <c r="D24" i="1"/>
  <c r="AV12" i="2"/>
  <c r="D258" i="16"/>
  <c r="K258" i="16" s="1"/>
  <c r="D98" i="16"/>
  <c r="K98" i="16" s="1"/>
  <c r="D386" i="16"/>
  <c r="K386" i="16"/>
  <c r="D354" i="16"/>
  <c r="K354" i="16"/>
  <c r="D82" i="16"/>
  <c r="K82" i="16" s="1"/>
  <c r="D178" i="16"/>
  <c r="K178" i="16" s="1"/>
  <c r="D322" i="16"/>
  <c r="K322" i="16" s="1"/>
  <c r="D450" i="16"/>
  <c r="K450" i="16" s="1"/>
  <c r="D210" i="16"/>
  <c r="K210" i="16"/>
  <c r="D466" i="16"/>
  <c r="D226" i="16"/>
  <c r="K226" i="16"/>
  <c r="D50" i="16"/>
  <c r="K50" i="16"/>
  <c r="D306" i="16"/>
  <c r="K306" i="16"/>
  <c r="D2" i="16"/>
  <c r="K2" i="16"/>
  <c r="D130" i="16"/>
  <c r="K130" i="16" s="1"/>
  <c r="D18" i="16"/>
  <c r="K18" i="16" s="1"/>
  <c r="D274" i="16"/>
  <c r="K274" i="16"/>
  <c r="D34" i="16"/>
  <c r="K34" i="16"/>
  <c r="D290" i="16"/>
  <c r="K290" i="16"/>
  <c r="D114" i="16"/>
  <c r="K114" i="16"/>
  <c r="D370" i="16"/>
  <c r="K370" i="16" s="1"/>
  <c r="D66" i="16"/>
  <c r="K66" i="16" s="1"/>
  <c r="D194" i="16"/>
  <c r="K194" i="16"/>
  <c r="D146" i="16"/>
  <c r="K146" i="16"/>
  <c r="D402" i="16"/>
  <c r="K402" i="16"/>
  <c r="D162" i="16"/>
  <c r="K162" i="16"/>
  <c r="D418" i="16"/>
  <c r="K418" i="16" s="1"/>
  <c r="D459" i="16"/>
  <c r="D395" i="16"/>
  <c r="D331" i="16"/>
  <c r="D267" i="16"/>
  <c r="D203" i="16"/>
  <c r="D139" i="16"/>
  <c r="D75" i="16"/>
  <c r="D11" i="16"/>
  <c r="D427" i="16"/>
  <c r="D363" i="16"/>
  <c r="D299" i="16"/>
  <c r="D235" i="16"/>
  <c r="D171" i="16"/>
  <c r="D107" i="16"/>
  <c r="D43" i="16"/>
  <c r="D475" i="16"/>
  <c r="D347" i="16"/>
  <c r="D219" i="16"/>
  <c r="D91" i="16"/>
  <c r="D443" i="16"/>
  <c r="D315" i="16"/>
  <c r="D187" i="16"/>
  <c r="D59" i="16"/>
  <c r="D411" i="16"/>
  <c r="D283" i="16"/>
  <c r="D155" i="16"/>
  <c r="D27" i="16"/>
  <c r="D379" i="16"/>
  <c r="D251" i="16"/>
  <c r="D123" i="16"/>
  <c r="C447" i="16"/>
  <c r="J447" i="16" s="1"/>
  <c r="C443" i="16"/>
  <c r="J443" i="16"/>
  <c r="C439" i="16"/>
  <c r="J439" i="16"/>
  <c r="C435" i="16"/>
  <c r="J435" i="16"/>
  <c r="C367" i="16"/>
  <c r="J367" i="16"/>
  <c r="C363" i="16"/>
  <c r="J363" i="16" s="1"/>
  <c r="C359" i="16"/>
  <c r="J359" i="16" s="1"/>
  <c r="C355" i="16"/>
  <c r="J355" i="16"/>
  <c r="C287" i="16"/>
  <c r="J287" i="16"/>
  <c r="C283" i="16"/>
  <c r="J283" i="16"/>
  <c r="C279" i="16"/>
  <c r="J279" i="16"/>
  <c r="C275" i="16"/>
  <c r="J275" i="16" s="1"/>
  <c r="C207" i="16"/>
  <c r="J207" i="16" s="1"/>
  <c r="C203" i="16"/>
  <c r="J203" i="16"/>
  <c r="C199" i="16"/>
  <c r="J199" i="16"/>
  <c r="C195" i="16"/>
  <c r="J195" i="16"/>
  <c r="C127" i="16"/>
  <c r="J127" i="16"/>
  <c r="C123" i="16"/>
  <c r="J123" i="16" s="1"/>
  <c r="C119" i="16"/>
  <c r="J119" i="16" s="1"/>
  <c r="C115" i="16"/>
  <c r="J115" i="16"/>
  <c r="C47" i="16"/>
  <c r="J47" i="16"/>
  <c r="C43" i="16"/>
  <c r="J43" i="16"/>
  <c r="C39" i="16"/>
  <c r="J39" i="16"/>
  <c r="C35" i="16"/>
  <c r="J35" i="16" s="1"/>
  <c r="C446" i="16"/>
  <c r="J446" i="16" s="1"/>
  <c r="C442" i="16"/>
  <c r="J442" i="16"/>
  <c r="C438" i="16"/>
  <c r="J438" i="16"/>
  <c r="C434" i="16"/>
  <c r="J434" i="16"/>
  <c r="C366" i="16"/>
  <c r="J366" i="16"/>
  <c r="C362" i="16"/>
  <c r="J362" i="16" s="1"/>
  <c r="C358" i="16"/>
  <c r="J358" i="16" s="1"/>
  <c r="C354" i="16"/>
  <c r="J354" i="16"/>
  <c r="C286" i="16"/>
  <c r="J286" i="16"/>
  <c r="C282" i="16"/>
  <c r="J282" i="16"/>
  <c r="C278" i="16"/>
  <c r="J278" i="16"/>
  <c r="C274" i="16"/>
  <c r="J274" i="16" s="1"/>
  <c r="C206" i="16"/>
  <c r="J206" i="16" s="1"/>
  <c r="C202" i="16"/>
  <c r="J202" i="16"/>
  <c r="C198" i="16"/>
  <c r="J198" i="16"/>
  <c r="C194" i="16"/>
  <c r="J194" i="16"/>
  <c r="C126" i="16"/>
  <c r="J126" i="16"/>
  <c r="C122" i="16"/>
  <c r="J122" i="16" s="1"/>
  <c r="C118" i="16"/>
  <c r="J118" i="16" s="1"/>
  <c r="C114" i="16"/>
  <c r="J114" i="16"/>
  <c r="C46" i="16"/>
  <c r="J46" i="16"/>
  <c r="C42" i="16"/>
  <c r="J42" i="16"/>
  <c r="C38" i="16"/>
  <c r="J38" i="16"/>
  <c r="C34" i="16"/>
  <c r="J34" i="16" s="1"/>
  <c r="C449" i="16"/>
  <c r="J449" i="16" s="1"/>
  <c r="C445" i="16"/>
  <c r="J445" i="16"/>
  <c r="C441" i="16"/>
  <c r="J441" i="16"/>
  <c r="C437" i="16"/>
  <c r="J437" i="16"/>
  <c r="C369" i="16"/>
  <c r="J369" i="16"/>
  <c r="C365" i="16"/>
  <c r="J365" i="16" s="1"/>
  <c r="C361" i="16"/>
  <c r="J361" i="16" s="1"/>
  <c r="C357" i="16"/>
  <c r="J357" i="16"/>
  <c r="C289" i="16"/>
  <c r="J289" i="16"/>
  <c r="C285" i="16"/>
  <c r="J285" i="16"/>
  <c r="C281" i="16"/>
  <c r="J281" i="16"/>
  <c r="C277" i="16"/>
  <c r="J277" i="16" s="1"/>
  <c r="C209" i="16"/>
  <c r="J209" i="16" s="1"/>
  <c r="C205" i="16"/>
  <c r="J205" i="16"/>
  <c r="C201" i="16"/>
  <c r="J201" i="16"/>
  <c r="C197" i="16"/>
  <c r="J197" i="16"/>
  <c r="C129" i="16"/>
  <c r="J129" i="16"/>
  <c r="C125" i="16"/>
  <c r="J125" i="16" s="1"/>
  <c r="C121" i="16"/>
  <c r="J121" i="16" s="1"/>
  <c r="C117" i="16"/>
  <c r="J117" i="16"/>
  <c r="C49" i="16"/>
  <c r="J49" i="16"/>
  <c r="C45" i="16"/>
  <c r="J45" i="16"/>
  <c r="C41" i="16"/>
  <c r="J41" i="16"/>
  <c r="C37" i="16"/>
  <c r="J37" i="16" s="1"/>
  <c r="C436" i="16"/>
  <c r="J436" i="16" s="1"/>
  <c r="C356" i="16"/>
  <c r="J356" i="16"/>
  <c r="C276" i="16"/>
  <c r="J276" i="16"/>
  <c r="C196" i="16"/>
  <c r="J196" i="16"/>
  <c r="C116" i="16"/>
  <c r="J116" i="16"/>
  <c r="C36" i="16"/>
  <c r="J36" i="16" s="1"/>
  <c r="C368" i="16"/>
  <c r="J368" i="16" s="1"/>
  <c r="C208" i="16"/>
  <c r="J208" i="16"/>
  <c r="C128" i="16"/>
  <c r="J128" i="16"/>
  <c r="C364" i="16"/>
  <c r="J364" i="16"/>
  <c r="C204" i="16"/>
  <c r="J204" i="16"/>
  <c r="C44" i="16"/>
  <c r="J44" i="16" s="1"/>
  <c r="C440" i="16"/>
  <c r="J440" i="16" s="1"/>
  <c r="C280" i="16"/>
  <c r="J280" i="16"/>
  <c r="C120" i="16"/>
  <c r="J120" i="16"/>
  <c r="C448" i="16"/>
  <c r="J448" i="16"/>
  <c r="C288" i="16"/>
  <c r="J288" i="16"/>
  <c r="C48" i="16"/>
  <c r="J48" i="16" s="1"/>
  <c r="C444" i="16"/>
  <c r="J444" i="16" s="1"/>
  <c r="C284" i="16"/>
  <c r="J284" i="16"/>
  <c r="C124" i="16"/>
  <c r="J124" i="16"/>
  <c r="C360" i="16"/>
  <c r="J360" i="16"/>
  <c r="C200" i="16"/>
  <c r="J200" i="16"/>
  <c r="C40" i="16"/>
  <c r="J40" i="16" s="1"/>
  <c r="B481" i="16"/>
  <c r="I481" i="16" s="1"/>
  <c r="B477" i="16"/>
  <c r="I477" i="16"/>
  <c r="B473" i="16"/>
  <c r="I473" i="16"/>
  <c r="B469" i="16"/>
  <c r="I469" i="16"/>
  <c r="B465" i="16"/>
  <c r="I465" i="16"/>
  <c r="B461" i="16"/>
  <c r="I461" i="16" s="1"/>
  <c r="B457" i="16"/>
  <c r="I457" i="16" s="1"/>
  <c r="B453" i="16"/>
  <c r="I453" i="16"/>
  <c r="B449" i="16"/>
  <c r="I449" i="16"/>
  <c r="B445" i="16"/>
  <c r="I445" i="16"/>
  <c r="B441" i="16"/>
  <c r="I441" i="16"/>
  <c r="B437" i="16"/>
  <c r="I437" i="16" s="1"/>
  <c r="B433" i="16"/>
  <c r="I433" i="16" s="1"/>
  <c r="B429" i="16"/>
  <c r="I429" i="16"/>
  <c r="B425" i="16"/>
  <c r="I425" i="16"/>
  <c r="B421" i="16"/>
  <c r="I421" i="16"/>
  <c r="B417" i="16"/>
  <c r="I417" i="16"/>
  <c r="B413" i="16"/>
  <c r="I413" i="16" s="1"/>
  <c r="B409" i="16"/>
  <c r="I409" i="16" s="1"/>
  <c r="B405" i="16"/>
  <c r="I405" i="16"/>
  <c r="B241" i="16"/>
  <c r="I241" i="16"/>
  <c r="B237" i="16"/>
  <c r="I237" i="16"/>
  <c r="B233" i="16"/>
  <c r="I233" i="16"/>
  <c r="B229" i="16"/>
  <c r="I229" i="16" s="1"/>
  <c r="B225" i="16"/>
  <c r="I225" i="16" s="1"/>
  <c r="B221" i="16"/>
  <c r="I221" i="16"/>
  <c r="B217" i="16"/>
  <c r="I217" i="16"/>
  <c r="B213" i="16"/>
  <c r="I213" i="16"/>
  <c r="B209" i="16"/>
  <c r="I209" i="16"/>
  <c r="B205" i="16"/>
  <c r="I205" i="16" s="1"/>
  <c r="B201" i="16"/>
  <c r="I201" i="16" s="1"/>
  <c r="B197" i="16"/>
  <c r="I197" i="16"/>
  <c r="B193" i="16"/>
  <c r="I193" i="16"/>
  <c r="B189" i="16"/>
  <c r="I189" i="16"/>
  <c r="B185" i="16"/>
  <c r="I185" i="16"/>
  <c r="B181" i="16"/>
  <c r="I181" i="16" s="1"/>
  <c r="B177" i="16"/>
  <c r="I177" i="16" s="1"/>
  <c r="B173" i="16"/>
  <c r="I173" i="16"/>
  <c r="B169" i="16"/>
  <c r="I169" i="16"/>
  <c r="B165" i="16"/>
  <c r="I165" i="16"/>
  <c r="B480" i="16"/>
  <c r="I480" i="16"/>
  <c r="B476" i="16"/>
  <c r="I476" i="16" s="1"/>
  <c r="B472" i="16"/>
  <c r="I472" i="16" s="1"/>
  <c r="B468" i="16"/>
  <c r="I468" i="16"/>
  <c r="B464" i="16"/>
  <c r="I464" i="16"/>
  <c r="B460" i="16"/>
  <c r="I460" i="16"/>
  <c r="B456" i="16"/>
  <c r="I456" i="16"/>
  <c r="B452" i="16"/>
  <c r="I452" i="16" s="1"/>
  <c r="B448" i="16"/>
  <c r="I448" i="16" s="1"/>
  <c r="B444" i="16"/>
  <c r="I444" i="16"/>
  <c r="B440" i="16"/>
  <c r="I440" i="16"/>
  <c r="B436" i="16"/>
  <c r="I436" i="16"/>
  <c r="B432" i="16"/>
  <c r="I432" i="16"/>
  <c r="B428" i="16"/>
  <c r="I428" i="16" s="1"/>
  <c r="B424" i="16"/>
  <c r="I424" i="16" s="1"/>
  <c r="B420" i="16"/>
  <c r="I420" i="16"/>
  <c r="B416" i="16"/>
  <c r="I416" i="16"/>
  <c r="B412" i="16"/>
  <c r="I412" i="16"/>
  <c r="B408" i="16"/>
  <c r="I408" i="16"/>
  <c r="B404" i="16"/>
  <c r="I404" i="16" s="1"/>
  <c r="B240" i="16"/>
  <c r="I240" i="16" s="1"/>
  <c r="B236" i="16"/>
  <c r="I236" i="16"/>
  <c r="B232" i="16"/>
  <c r="I232" i="16"/>
  <c r="B228" i="16"/>
  <c r="I228" i="16"/>
  <c r="B224" i="16"/>
  <c r="I224" i="16"/>
  <c r="B220" i="16"/>
  <c r="I220" i="16" s="1"/>
  <c r="B216" i="16"/>
  <c r="I216" i="16" s="1"/>
  <c r="B212" i="16"/>
  <c r="I212" i="16"/>
  <c r="B208" i="16"/>
  <c r="I208" i="16"/>
  <c r="B204" i="16"/>
  <c r="I204" i="16"/>
  <c r="B200" i="16"/>
  <c r="I200" i="16"/>
  <c r="B196" i="16"/>
  <c r="I196" i="16" s="1"/>
  <c r="B192" i="16"/>
  <c r="I192" i="16" s="1"/>
  <c r="B188" i="16"/>
  <c r="I188" i="16"/>
  <c r="B184" i="16"/>
  <c r="I184" i="16"/>
  <c r="B180" i="16"/>
  <c r="I180" i="16"/>
  <c r="B176" i="16"/>
  <c r="I176" i="16"/>
  <c r="B172" i="16"/>
  <c r="I172" i="16" s="1"/>
  <c r="B168" i="16"/>
  <c r="I168" i="16" s="1"/>
  <c r="B164" i="16"/>
  <c r="I164" i="16"/>
  <c r="B479" i="16"/>
  <c r="I479" i="16"/>
  <c r="B475" i="16"/>
  <c r="I475" i="16"/>
  <c r="B471" i="16"/>
  <c r="I471" i="16"/>
  <c r="B467" i="16"/>
  <c r="I467" i="16" s="1"/>
  <c r="B463" i="16"/>
  <c r="I463" i="16" s="1"/>
  <c r="B459" i="16"/>
  <c r="I459" i="16"/>
  <c r="B455" i="16"/>
  <c r="I455" i="16"/>
  <c r="B451" i="16"/>
  <c r="I451" i="16"/>
  <c r="B447" i="16"/>
  <c r="I447" i="16"/>
  <c r="B443" i="16"/>
  <c r="I443" i="16" s="1"/>
  <c r="B439" i="16"/>
  <c r="I439" i="16" s="1"/>
  <c r="B435" i="16"/>
  <c r="I435" i="16"/>
  <c r="B431" i="16"/>
  <c r="I431" i="16"/>
  <c r="B427" i="16"/>
  <c r="I427" i="16"/>
  <c r="B423" i="16"/>
  <c r="I423" i="16"/>
  <c r="B419" i="16"/>
  <c r="I419" i="16" s="1"/>
  <c r="B415" i="16"/>
  <c r="I415" i="16" s="1"/>
  <c r="B411" i="16"/>
  <c r="I411" i="16"/>
  <c r="B407" i="16"/>
  <c r="I407" i="16"/>
  <c r="B403" i="16"/>
  <c r="I403" i="16"/>
  <c r="B239" i="16"/>
  <c r="I239" i="16"/>
  <c r="B235" i="16"/>
  <c r="I235" i="16" s="1"/>
  <c r="B231" i="16"/>
  <c r="I231" i="16" s="1"/>
  <c r="B227" i="16"/>
  <c r="I227" i="16"/>
  <c r="B223" i="16"/>
  <c r="I223" i="16"/>
  <c r="B219" i="16"/>
  <c r="I219" i="16"/>
  <c r="B215" i="16"/>
  <c r="I215" i="16"/>
  <c r="B211" i="16"/>
  <c r="I211" i="16" s="1"/>
  <c r="B207" i="16"/>
  <c r="I207" i="16" s="1"/>
  <c r="B203" i="16"/>
  <c r="I203" i="16"/>
  <c r="B199" i="16"/>
  <c r="I199" i="16"/>
  <c r="B195" i="16"/>
  <c r="I195" i="16"/>
  <c r="B191" i="16"/>
  <c r="I191" i="16"/>
  <c r="B187" i="16"/>
  <c r="I187" i="16" s="1"/>
  <c r="B183" i="16"/>
  <c r="I183" i="16" s="1"/>
  <c r="B179" i="16"/>
  <c r="I179" i="16"/>
  <c r="B175" i="16"/>
  <c r="I175" i="16"/>
  <c r="B171" i="16"/>
  <c r="I171" i="16"/>
  <c r="B167" i="16"/>
  <c r="I167" i="16"/>
  <c r="B163" i="16"/>
  <c r="I163" i="16" s="1"/>
  <c r="B478" i="16"/>
  <c r="I478" i="16" s="1"/>
  <c r="B462" i="16"/>
  <c r="I462" i="16"/>
  <c r="B446" i="16"/>
  <c r="I446" i="16"/>
  <c r="B430" i="16"/>
  <c r="I430" i="16"/>
  <c r="B414" i="16"/>
  <c r="I414" i="16"/>
  <c r="B238" i="16"/>
  <c r="I238" i="16" s="1"/>
  <c r="B222" i="16"/>
  <c r="I222" i="16" s="1"/>
  <c r="B206" i="16"/>
  <c r="I206" i="16"/>
  <c r="B190" i="16"/>
  <c r="I190" i="16"/>
  <c r="B174" i="16"/>
  <c r="I174" i="16"/>
  <c r="B474" i="16"/>
  <c r="I474" i="16"/>
  <c r="B458" i="16"/>
  <c r="I458" i="16" s="1"/>
  <c r="B442" i="16"/>
  <c r="I442" i="16" s="1"/>
  <c r="B426" i="16"/>
  <c r="I426" i="16"/>
  <c r="B410" i="16"/>
  <c r="I410" i="16"/>
  <c r="B234" i="16"/>
  <c r="I234" i="16"/>
  <c r="B218" i="16"/>
  <c r="I218" i="16"/>
  <c r="B202" i="16"/>
  <c r="I202" i="16" s="1"/>
  <c r="B186" i="16"/>
  <c r="I186" i="16" s="1"/>
  <c r="B170" i="16"/>
  <c r="I170" i="16"/>
  <c r="B466" i="16"/>
  <c r="I466" i="16"/>
  <c r="B470" i="16"/>
  <c r="I470" i="16"/>
  <c r="B454" i="16"/>
  <c r="I454" i="16"/>
  <c r="B438" i="16"/>
  <c r="I438" i="16" s="1"/>
  <c r="B422" i="16"/>
  <c r="I422" i="16" s="1"/>
  <c r="B406" i="16"/>
  <c r="I406" i="16"/>
  <c r="B230" i="16"/>
  <c r="I230" i="16"/>
  <c r="B214" i="16"/>
  <c r="I214" i="16"/>
  <c r="B198" i="16"/>
  <c r="I198" i="16"/>
  <c r="B182" i="16"/>
  <c r="I182" i="16" s="1"/>
  <c r="B166" i="16"/>
  <c r="I166" i="16" s="1"/>
  <c r="B450" i="16"/>
  <c r="I450" i="16"/>
  <c r="B434" i="16"/>
  <c r="I434" i="16"/>
  <c r="B210" i="16"/>
  <c r="I210" i="16"/>
  <c r="B402" i="16"/>
  <c r="I402" i="16"/>
  <c r="B162" i="16"/>
  <c r="I162" i="16" s="1"/>
  <c r="B418" i="16"/>
  <c r="I418" i="16" s="1"/>
  <c r="B194" i="16"/>
  <c r="I194" i="16"/>
  <c r="B178" i="16"/>
  <c r="I178" i="16"/>
  <c r="B226" i="16"/>
  <c r="I226" i="16"/>
  <c r="B401" i="16"/>
  <c r="I401" i="16"/>
  <c r="B397" i="16"/>
  <c r="I397" i="16" s="1"/>
  <c r="B393" i="16"/>
  <c r="I393" i="16" s="1"/>
  <c r="B389" i="16"/>
  <c r="I389" i="16"/>
  <c r="B385" i="16"/>
  <c r="I385" i="16"/>
  <c r="B381" i="16"/>
  <c r="I381" i="16"/>
  <c r="B377" i="16"/>
  <c r="I377" i="16"/>
  <c r="B373" i="16"/>
  <c r="I373" i="16" s="1"/>
  <c r="B369" i="16"/>
  <c r="I369" i="16" s="1"/>
  <c r="B365" i="16"/>
  <c r="I365" i="16"/>
  <c r="B361" i="16"/>
  <c r="I361" i="16"/>
  <c r="B357" i="16"/>
  <c r="I357" i="16"/>
  <c r="B353" i="16"/>
  <c r="I353" i="16"/>
  <c r="B349" i="16"/>
  <c r="I349" i="16" s="1"/>
  <c r="B345" i="16"/>
  <c r="I345" i="16" s="1"/>
  <c r="B341" i="16"/>
  <c r="I341" i="16"/>
  <c r="B337" i="16"/>
  <c r="I337" i="16"/>
  <c r="B333" i="16"/>
  <c r="I333" i="16"/>
  <c r="B329" i="16"/>
  <c r="I329" i="16"/>
  <c r="B325" i="16"/>
  <c r="I325" i="16" s="1"/>
  <c r="B161" i="16"/>
  <c r="I161" i="16" s="1"/>
  <c r="B157" i="16"/>
  <c r="I157" i="16"/>
  <c r="B153" i="16"/>
  <c r="I153" i="16"/>
  <c r="B149" i="16"/>
  <c r="I149" i="16"/>
  <c r="B145" i="16"/>
  <c r="I145" i="16"/>
  <c r="B141" i="16"/>
  <c r="I141" i="16" s="1"/>
  <c r="B137" i="16"/>
  <c r="I137" i="16" s="1"/>
  <c r="B133" i="16"/>
  <c r="I133" i="16"/>
  <c r="B129" i="16"/>
  <c r="I129" i="16"/>
  <c r="B125" i="16"/>
  <c r="I125" i="16"/>
  <c r="B121" i="16"/>
  <c r="I121" i="16"/>
  <c r="B117" i="16"/>
  <c r="I117" i="16" s="1"/>
  <c r="L117" i="16" s="1"/>
  <c r="B113" i="16"/>
  <c r="I113" i="16" s="1"/>
  <c r="B109" i="16"/>
  <c r="I109" i="16"/>
  <c r="B105" i="16"/>
  <c r="I105" i="16"/>
  <c r="B101" i="16"/>
  <c r="I101" i="16"/>
  <c r="B97" i="16"/>
  <c r="I97" i="16"/>
  <c r="B93" i="16"/>
  <c r="I93" i="16" s="1"/>
  <c r="B89" i="16"/>
  <c r="I89" i="16" s="1"/>
  <c r="B85" i="16"/>
  <c r="I85" i="16"/>
  <c r="B400" i="16"/>
  <c r="I400" i="16"/>
  <c r="B396" i="16"/>
  <c r="I396" i="16"/>
  <c r="B392" i="16"/>
  <c r="I392" i="16"/>
  <c r="B388" i="16"/>
  <c r="I388" i="16" s="1"/>
  <c r="B384" i="16"/>
  <c r="I384" i="16" s="1"/>
  <c r="B380" i="16"/>
  <c r="I380" i="16"/>
  <c r="B376" i="16"/>
  <c r="I376" i="16"/>
  <c r="B372" i="16"/>
  <c r="I372" i="16"/>
  <c r="B368" i="16"/>
  <c r="I368" i="16"/>
  <c r="B364" i="16"/>
  <c r="I364" i="16" s="1"/>
  <c r="B360" i="16"/>
  <c r="I360" i="16" s="1"/>
  <c r="B356" i="16"/>
  <c r="I356" i="16"/>
  <c r="B352" i="16"/>
  <c r="I352" i="16"/>
  <c r="B348" i="16"/>
  <c r="I348" i="16"/>
  <c r="B344" i="16"/>
  <c r="I344" i="16"/>
  <c r="B340" i="16"/>
  <c r="I340" i="16" s="1"/>
  <c r="B336" i="16"/>
  <c r="I336" i="16" s="1"/>
  <c r="B332" i="16"/>
  <c r="I332" i="16"/>
  <c r="B328" i="16"/>
  <c r="I328" i="16"/>
  <c r="B324" i="16"/>
  <c r="I324" i="16"/>
  <c r="B160" i="16"/>
  <c r="I160" i="16"/>
  <c r="B156" i="16"/>
  <c r="I156" i="16" s="1"/>
  <c r="B152" i="16"/>
  <c r="I152" i="16" s="1"/>
  <c r="B148" i="16"/>
  <c r="I148" i="16"/>
  <c r="B144" i="16"/>
  <c r="I144" i="16"/>
  <c r="B140" i="16"/>
  <c r="I140" i="16"/>
  <c r="B136" i="16"/>
  <c r="I136" i="16"/>
  <c r="B132" i="16"/>
  <c r="I132" i="16" s="1"/>
  <c r="B128" i="16"/>
  <c r="I128" i="16" s="1"/>
  <c r="B124" i="16"/>
  <c r="I124" i="16"/>
  <c r="B120" i="16"/>
  <c r="I120" i="16"/>
  <c r="B116" i="16"/>
  <c r="I116" i="16"/>
  <c r="B112" i="16"/>
  <c r="I112" i="16"/>
  <c r="B108" i="16"/>
  <c r="I108" i="16" s="1"/>
  <c r="B104" i="16"/>
  <c r="I104" i="16" s="1"/>
  <c r="B100" i="16"/>
  <c r="I100" i="16"/>
  <c r="B96" i="16"/>
  <c r="I96" i="16"/>
  <c r="B92" i="16"/>
  <c r="I92" i="16"/>
  <c r="B88" i="16"/>
  <c r="I88" i="16"/>
  <c r="B84" i="16"/>
  <c r="I84" i="16" s="1"/>
  <c r="B399" i="16"/>
  <c r="I399" i="16" s="1"/>
  <c r="B395" i="16"/>
  <c r="I395" i="16"/>
  <c r="B391" i="16"/>
  <c r="I391" i="16"/>
  <c r="B387" i="16"/>
  <c r="I387" i="16"/>
  <c r="B383" i="16"/>
  <c r="I383" i="16"/>
  <c r="B379" i="16"/>
  <c r="I379" i="16" s="1"/>
  <c r="B375" i="16"/>
  <c r="I375" i="16" s="1"/>
  <c r="B371" i="16"/>
  <c r="I371" i="16"/>
  <c r="B367" i="16"/>
  <c r="I367" i="16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/>
  <c r="B37" i="16"/>
  <c r="I37" i="16" s="1"/>
  <c r="L37" i="16" s="1"/>
  <c r="B33" i="16"/>
  <c r="I33" i="16" s="1"/>
  <c r="B29" i="16"/>
  <c r="I29" i="16" s="1"/>
  <c r="B25" i="16"/>
  <c r="I25" i="16" s="1"/>
  <c r="B21" i="16"/>
  <c r="I21" i="16" s="1"/>
  <c r="B17" i="16"/>
  <c r="I17" i="16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/>
  <c r="B68" i="16"/>
  <c r="I68" i="16" s="1"/>
  <c r="L68" i="16" s="1"/>
  <c r="B64" i="16"/>
  <c r="I64" i="16" s="1"/>
  <c r="B60" i="16"/>
  <c r="I60" i="16" s="1"/>
  <c r="B56" i="16"/>
  <c r="I56" i="16" s="1"/>
  <c r="B52" i="16"/>
  <c r="I52" i="16" s="1"/>
  <c r="B48" i="16"/>
  <c r="I48" i="16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/>
  <c r="B20" i="16"/>
  <c r="I20" i="16" s="1"/>
  <c r="L20" i="16" s="1"/>
  <c r="B16" i="16"/>
  <c r="I16" i="16" s="1"/>
  <c r="B12" i="16"/>
  <c r="I12" i="16" s="1"/>
  <c r="B319" i="16"/>
  <c r="I319" i="16" s="1"/>
  <c r="B315" i="16"/>
  <c r="I315" i="16" s="1"/>
  <c r="B311" i="16"/>
  <c r="I311" i="16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/>
  <c r="B4" i="16"/>
  <c r="I4" i="16" s="1"/>
  <c r="L4" i="16" s="1"/>
  <c r="B242" i="16"/>
  <c r="I242" i="16" s="1"/>
  <c r="B18" i="16"/>
  <c r="I18" i="16" s="1"/>
  <c r="B290" i="16"/>
  <c r="I290" i="16" s="1"/>
  <c r="B8" i="16"/>
  <c r="I8" i="16" s="1"/>
  <c r="B258" i="16"/>
  <c r="I258" i="16"/>
  <c r="B34" i="16"/>
  <c r="I34" i="16" s="1"/>
  <c r="B306" i="16"/>
  <c r="I306" i="16" s="1"/>
  <c r="B66" i="16"/>
  <c r="I66" i="16" s="1"/>
  <c r="AI2" i="2"/>
  <c r="C463" i="16"/>
  <c r="J463" i="16"/>
  <c r="C459" i="16"/>
  <c r="J459" i="16"/>
  <c r="C455" i="16"/>
  <c r="J455" i="16" s="1"/>
  <c r="C451" i="16"/>
  <c r="J451" i="16"/>
  <c r="C383" i="16"/>
  <c r="J383" i="16"/>
  <c r="C379" i="16"/>
  <c r="J379" i="16"/>
  <c r="C375" i="16"/>
  <c r="J375" i="16"/>
  <c r="C371" i="16"/>
  <c r="J371" i="16"/>
  <c r="C303" i="16"/>
  <c r="J303" i="16" s="1"/>
  <c r="C299" i="16"/>
  <c r="J299" i="16"/>
  <c r="C295" i="16"/>
  <c r="J295" i="16"/>
  <c r="C291" i="16"/>
  <c r="J291" i="16"/>
  <c r="C223" i="16"/>
  <c r="J223" i="16"/>
  <c r="C219" i="16"/>
  <c r="J219" i="16"/>
  <c r="C215" i="16"/>
  <c r="J215" i="16" s="1"/>
  <c r="C211" i="16"/>
  <c r="J211" i="16"/>
  <c r="C143" i="16"/>
  <c r="J143" i="16"/>
  <c r="C139" i="16"/>
  <c r="J139" i="16"/>
  <c r="C135" i="16"/>
  <c r="J135" i="16"/>
  <c r="C131" i="16"/>
  <c r="J131" i="16"/>
  <c r="C63" i="16"/>
  <c r="J63" i="16" s="1"/>
  <c r="C59" i="16"/>
  <c r="J59" i="16"/>
  <c r="C55" i="16"/>
  <c r="J55" i="16"/>
  <c r="C51" i="16"/>
  <c r="J51" i="16"/>
  <c r="C462" i="16"/>
  <c r="J462" i="16"/>
  <c r="C458" i="16"/>
  <c r="J458" i="16"/>
  <c r="C454" i="16"/>
  <c r="J454" i="16" s="1"/>
  <c r="C450" i="16"/>
  <c r="J450" i="16"/>
  <c r="C382" i="16"/>
  <c r="J382" i="16"/>
  <c r="C378" i="16"/>
  <c r="J378" i="16"/>
  <c r="C374" i="16"/>
  <c r="J374" i="16"/>
  <c r="C370" i="16"/>
  <c r="J370" i="16"/>
  <c r="C302" i="16"/>
  <c r="J302" i="16" s="1"/>
  <c r="C298" i="16"/>
  <c r="J298" i="16"/>
  <c r="C294" i="16"/>
  <c r="J294" i="16"/>
  <c r="C290" i="16"/>
  <c r="J290" i="16"/>
  <c r="C222" i="16"/>
  <c r="J222" i="16"/>
  <c r="C218" i="16"/>
  <c r="J218" i="16"/>
  <c r="C214" i="16"/>
  <c r="J214" i="16" s="1"/>
  <c r="C210" i="16"/>
  <c r="J210" i="16"/>
  <c r="C142" i="16"/>
  <c r="J142" i="16"/>
  <c r="C138" i="16"/>
  <c r="J138" i="16"/>
  <c r="C134" i="16"/>
  <c r="J134" i="16"/>
  <c r="C130" i="16"/>
  <c r="J130" i="16"/>
  <c r="C62" i="16"/>
  <c r="J62" i="16" s="1"/>
  <c r="C58" i="16"/>
  <c r="J58" i="16"/>
  <c r="C54" i="16"/>
  <c r="J54" i="16"/>
  <c r="C50" i="16"/>
  <c r="J50" i="16"/>
  <c r="C465" i="16"/>
  <c r="J465" i="16"/>
  <c r="C461" i="16"/>
  <c r="J461" i="16"/>
  <c r="C457" i="16"/>
  <c r="J457" i="16" s="1"/>
  <c r="C453" i="16"/>
  <c r="J453" i="16"/>
  <c r="C385" i="16"/>
  <c r="J385" i="16"/>
  <c r="C381" i="16"/>
  <c r="J381" i="16"/>
  <c r="C377" i="16"/>
  <c r="J377" i="16"/>
  <c r="C373" i="16"/>
  <c r="J373" i="16"/>
  <c r="C305" i="16"/>
  <c r="J305" i="16" s="1"/>
  <c r="C301" i="16"/>
  <c r="J301" i="16"/>
  <c r="C297" i="16"/>
  <c r="J297" i="16"/>
  <c r="C293" i="16"/>
  <c r="J293" i="16"/>
  <c r="C225" i="16"/>
  <c r="J225" i="16"/>
  <c r="C221" i="16"/>
  <c r="J221" i="16"/>
  <c r="C217" i="16"/>
  <c r="J217" i="16" s="1"/>
  <c r="C213" i="16"/>
  <c r="J213" i="16"/>
  <c r="C145" i="16"/>
  <c r="J145" i="16"/>
  <c r="C141" i="16"/>
  <c r="J141" i="16"/>
  <c r="C137" i="16"/>
  <c r="J137" i="16"/>
  <c r="C133" i="16"/>
  <c r="J133" i="16"/>
  <c r="C65" i="16"/>
  <c r="J65" i="16" s="1"/>
  <c r="C61" i="16"/>
  <c r="J61" i="16"/>
  <c r="C57" i="16"/>
  <c r="J57" i="16"/>
  <c r="C53" i="16"/>
  <c r="J53" i="16"/>
  <c r="C452" i="16"/>
  <c r="J452" i="16"/>
  <c r="C372" i="16"/>
  <c r="J372" i="16"/>
  <c r="C292" i="16"/>
  <c r="J292" i="16" s="1"/>
  <c r="L292" i="16" s="1"/>
  <c r="C212" i="16"/>
  <c r="J212" i="16"/>
  <c r="C132" i="16"/>
  <c r="J132" i="16"/>
  <c r="C52" i="16"/>
  <c r="J52" i="16"/>
  <c r="C144" i="16"/>
  <c r="J144" i="16"/>
  <c r="C380" i="16"/>
  <c r="J380" i="16"/>
  <c r="C220" i="16"/>
  <c r="J220" i="16" s="1"/>
  <c r="C60" i="16"/>
  <c r="J60" i="16"/>
  <c r="C296" i="16"/>
  <c r="J296" i="16"/>
  <c r="C136" i="16"/>
  <c r="J136" i="16"/>
  <c r="C464" i="16"/>
  <c r="J464" i="16"/>
  <c r="C384" i="16"/>
  <c r="J384" i="16"/>
  <c r="C304" i="16"/>
  <c r="J304" i="16" s="1"/>
  <c r="C224" i="16"/>
  <c r="J224" i="16"/>
  <c r="C64" i="16"/>
  <c r="J64" i="16"/>
  <c r="C460" i="16"/>
  <c r="J460" i="16"/>
  <c r="C300" i="16"/>
  <c r="J300" i="16"/>
  <c r="C140" i="16"/>
  <c r="J140" i="16"/>
  <c r="C456" i="16"/>
  <c r="J456" i="16" s="1"/>
  <c r="C376" i="16"/>
  <c r="J376" i="16"/>
  <c r="C216" i="16"/>
  <c r="J216" i="16"/>
  <c r="C56" i="16"/>
  <c r="J56" i="16"/>
  <c r="D457" i="16"/>
  <c r="D393" i="16"/>
  <c r="D329" i="16"/>
  <c r="D265" i="16"/>
  <c r="D201" i="16"/>
  <c r="D137" i="16"/>
  <c r="D73" i="16"/>
  <c r="D9" i="16"/>
  <c r="D425" i="16"/>
  <c r="D361" i="16"/>
  <c r="D297" i="16"/>
  <c r="D233" i="16"/>
  <c r="D169" i="16"/>
  <c r="D105" i="16"/>
  <c r="D41" i="16"/>
  <c r="D409" i="16"/>
  <c r="D281" i="16"/>
  <c r="D153" i="16"/>
  <c r="D25" i="16"/>
  <c r="D377" i="16"/>
  <c r="D249" i="16"/>
  <c r="D121" i="16"/>
  <c r="D473" i="16"/>
  <c r="D345" i="16"/>
  <c r="D217" i="16"/>
  <c r="D89" i="16"/>
  <c r="D441" i="16"/>
  <c r="D313" i="16"/>
  <c r="D185" i="16"/>
  <c r="D57" i="16"/>
  <c r="D10" i="16"/>
  <c r="D436" i="16"/>
  <c r="K436" i="16"/>
  <c r="D372" i="16"/>
  <c r="K372" i="16"/>
  <c r="D308" i="16"/>
  <c r="K308" i="16" s="1"/>
  <c r="D244" i="16"/>
  <c r="K244" i="16"/>
  <c r="D180" i="16"/>
  <c r="K180" i="16"/>
  <c r="D116" i="16"/>
  <c r="K116" i="16"/>
  <c r="D52" i="16"/>
  <c r="K52" i="16"/>
  <c r="D420" i="16"/>
  <c r="K420" i="16"/>
  <c r="D356" i="16"/>
  <c r="K356" i="16" s="1"/>
  <c r="D292" i="16"/>
  <c r="K292" i="16"/>
  <c r="D228" i="16"/>
  <c r="K228" i="16"/>
  <c r="D164" i="16"/>
  <c r="K164" i="16"/>
  <c r="D100" i="16"/>
  <c r="K100" i="16"/>
  <c r="D36" i="16"/>
  <c r="K36" i="16"/>
  <c r="D468" i="16"/>
  <c r="K468" i="16" s="1"/>
  <c r="D404" i="16"/>
  <c r="K404" i="16"/>
  <c r="D340" i="16"/>
  <c r="K340" i="16"/>
  <c r="D276" i="16"/>
  <c r="K276" i="16"/>
  <c r="D212" i="16"/>
  <c r="K212" i="16"/>
  <c r="D148" i="16"/>
  <c r="K148" i="16"/>
  <c r="D84" i="16"/>
  <c r="K84" i="16" s="1"/>
  <c r="D20" i="16"/>
  <c r="K20" i="16"/>
  <c r="D260" i="16"/>
  <c r="K260" i="16"/>
  <c r="D4" i="16"/>
  <c r="K4" i="16"/>
  <c r="D452" i="16"/>
  <c r="K452" i="16"/>
  <c r="D196" i="16"/>
  <c r="K196" i="16"/>
  <c r="D388" i="16"/>
  <c r="K388" i="16" s="1"/>
  <c r="D132" i="16"/>
  <c r="K132" i="16"/>
  <c r="D324" i="16"/>
  <c r="K324" i="16"/>
  <c r="D68" i="16"/>
  <c r="K68" i="16"/>
  <c r="A240" i="16"/>
  <c r="H240" i="16"/>
  <c r="A236" i="16"/>
  <c r="H236" i="16"/>
  <c r="A232" i="16"/>
  <c r="H232" i="16" s="1"/>
  <c r="A228" i="16"/>
  <c r="H228" i="16"/>
  <c r="A224" i="16"/>
  <c r="H224" i="16"/>
  <c r="A220" i="16"/>
  <c r="H220" i="16"/>
  <c r="A216" i="16"/>
  <c r="H216" i="16"/>
  <c r="A212" i="16"/>
  <c r="H212" i="16"/>
  <c r="A208" i="16"/>
  <c r="H208" i="16" s="1"/>
  <c r="A204" i="16"/>
  <c r="H204" i="16"/>
  <c r="A200" i="16"/>
  <c r="H200" i="16"/>
  <c r="A196" i="16"/>
  <c r="H196" i="16"/>
  <c r="A192" i="16"/>
  <c r="H192" i="16"/>
  <c r="A188" i="16"/>
  <c r="H188" i="16"/>
  <c r="A184" i="16"/>
  <c r="H184" i="16" s="1"/>
  <c r="A180" i="16"/>
  <c r="H180" i="16"/>
  <c r="A176" i="16"/>
  <c r="H176" i="16"/>
  <c r="A172" i="16"/>
  <c r="H172" i="16"/>
  <c r="A168" i="16"/>
  <c r="H168" i="16"/>
  <c r="A164" i="16"/>
  <c r="H164" i="16"/>
  <c r="A160" i="16"/>
  <c r="H160" i="16" s="1"/>
  <c r="A156" i="16"/>
  <c r="H156" i="16"/>
  <c r="A152" i="16"/>
  <c r="H152" i="16"/>
  <c r="A148" i="16"/>
  <c r="H148" i="16"/>
  <c r="A144" i="16"/>
  <c r="H144" i="16"/>
  <c r="A140" i="16"/>
  <c r="H140" i="16"/>
  <c r="A136" i="16"/>
  <c r="H136" i="16" s="1"/>
  <c r="A132" i="16"/>
  <c r="H132" i="16"/>
  <c r="A239" i="16"/>
  <c r="H239" i="16"/>
  <c r="A235" i="16"/>
  <c r="H235" i="16"/>
  <c r="A231" i="16"/>
  <c r="H231" i="16"/>
  <c r="A227" i="16"/>
  <c r="H227" i="16"/>
  <c r="A223" i="16"/>
  <c r="H223" i="16" s="1"/>
  <c r="A219" i="16"/>
  <c r="H219" i="16"/>
  <c r="A215" i="16"/>
  <c r="H215" i="16"/>
  <c r="A211" i="16"/>
  <c r="H211" i="16"/>
  <c r="A207" i="16"/>
  <c r="H207" i="16"/>
  <c r="A203" i="16"/>
  <c r="H203" i="16"/>
  <c r="A199" i="16"/>
  <c r="H199" i="16" s="1"/>
  <c r="A195" i="16"/>
  <c r="H195" i="16"/>
  <c r="A191" i="16"/>
  <c r="H191" i="16"/>
  <c r="A187" i="16"/>
  <c r="H187" i="16"/>
  <c r="A183" i="16"/>
  <c r="H183" i="16"/>
  <c r="A179" i="16"/>
  <c r="H179" i="16"/>
  <c r="A175" i="16"/>
  <c r="H175" i="16" s="1"/>
  <c r="A171" i="16"/>
  <c r="H171" i="16"/>
  <c r="A167" i="16"/>
  <c r="H167" i="16"/>
  <c r="A163" i="16"/>
  <c r="H163" i="16"/>
  <c r="A159" i="16"/>
  <c r="H159" i="16"/>
  <c r="A155" i="16"/>
  <c r="H155" i="16"/>
  <c r="A151" i="16"/>
  <c r="H151" i="16" s="1"/>
  <c r="A147" i="16"/>
  <c r="H147" i="16"/>
  <c r="A143" i="16"/>
  <c r="H143" i="16"/>
  <c r="A139" i="16"/>
  <c r="H139" i="16"/>
  <c r="A135" i="16"/>
  <c r="H135" i="16"/>
  <c r="A131" i="16"/>
  <c r="H131" i="16"/>
  <c r="A127" i="16"/>
  <c r="H127" i="16" s="1"/>
  <c r="A123" i="16"/>
  <c r="H123" i="16"/>
  <c r="A238" i="16"/>
  <c r="H238" i="16"/>
  <c r="A234" i="16"/>
  <c r="H234" i="16"/>
  <c r="A230" i="16"/>
  <c r="H230" i="16"/>
  <c r="A226" i="16"/>
  <c r="H226" i="16"/>
  <c r="A222" i="16"/>
  <c r="H222" i="16" s="1"/>
  <c r="A218" i="16"/>
  <c r="H218" i="16"/>
  <c r="A214" i="16"/>
  <c r="H214" i="16"/>
  <c r="A210" i="16"/>
  <c r="H210" i="16"/>
  <c r="A206" i="16"/>
  <c r="H206" i="16"/>
  <c r="A202" i="16"/>
  <c r="H202" i="16"/>
  <c r="A198" i="16"/>
  <c r="H198" i="16" s="1"/>
  <c r="A194" i="16"/>
  <c r="H194" i="16"/>
  <c r="A190" i="16"/>
  <c r="H190" i="16"/>
  <c r="A186" i="16"/>
  <c r="H186" i="16"/>
  <c r="A182" i="16"/>
  <c r="H182" i="16"/>
  <c r="A178" i="16"/>
  <c r="H178" i="16"/>
  <c r="A174" i="16"/>
  <c r="H174" i="16" s="1"/>
  <c r="A170" i="16"/>
  <c r="H170" i="16"/>
  <c r="A166" i="16"/>
  <c r="H166" i="16"/>
  <c r="A162" i="16"/>
  <c r="H162" i="16"/>
  <c r="A158" i="16"/>
  <c r="H158" i="16"/>
  <c r="A154" i="16"/>
  <c r="H154" i="16"/>
  <c r="A150" i="16"/>
  <c r="H150" i="16" s="1"/>
  <c r="A146" i="16"/>
  <c r="H146" i="16"/>
  <c r="A142" i="16"/>
  <c r="H142" i="16"/>
  <c r="A138" i="16"/>
  <c r="H138" i="16"/>
  <c r="A134" i="16"/>
  <c r="H134" i="16"/>
  <c r="A130" i="16"/>
  <c r="H130" i="16"/>
  <c r="A126" i="16"/>
  <c r="H126" i="16" s="1"/>
  <c r="A122" i="16"/>
  <c r="H122" i="16"/>
  <c r="A241" i="16"/>
  <c r="H241" i="16"/>
  <c r="A225" i="16"/>
  <c r="H225" i="16"/>
  <c r="A209" i="16"/>
  <c r="H209" i="16"/>
  <c r="A193" i="16"/>
  <c r="H193" i="16"/>
  <c r="A177" i="16"/>
  <c r="H177" i="16" s="1"/>
  <c r="A161" i="16"/>
  <c r="H161" i="16"/>
  <c r="A145" i="16"/>
  <c r="H145" i="16"/>
  <c r="A129" i="16"/>
  <c r="H129" i="16"/>
  <c r="A121" i="16"/>
  <c r="H121" i="16"/>
  <c r="A117" i="16"/>
  <c r="H117" i="16"/>
  <c r="A113" i="16"/>
  <c r="H113" i="16" s="1"/>
  <c r="A109" i="16"/>
  <c r="H109" i="16"/>
  <c r="A105" i="16"/>
  <c r="H105" i="16"/>
  <c r="A101" i="16"/>
  <c r="H101" i="16"/>
  <c r="A97" i="16"/>
  <c r="H97" i="16"/>
  <c r="A93" i="16"/>
  <c r="H93" i="16"/>
  <c r="A89" i="16"/>
  <c r="H89" i="16" s="1"/>
  <c r="A85" i="16"/>
  <c r="H85" i="16"/>
  <c r="A81" i="16"/>
  <c r="H81" i="16"/>
  <c r="A77" i="16"/>
  <c r="H77" i="16"/>
  <c r="A73" i="16"/>
  <c r="H73" i="16"/>
  <c r="A69" i="16"/>
  <c r="H69" i="16"/>
  <c r="A65" i="16"/>
  <c r="H65" i="16" s="1"/>
  <c r="A61" i="16"/>
  <c r="H61" i="16"/>
  <c r="A57" i="16"/>
  <c r="H57" i="16"/>
  <c r="A53" i="16"/>
  <c r="H53" i="16"/>
  <c r="A49" i="16"/>
  <c r="H49" i="16"/>
  <c r="A45" i="16"/>
  <c r="H45" i="16"/>
  <c r="A41" i="16"/>
  <c r="H41" i="16" s="1"/>
  <c r="A37" i="16"/>
  <c r="H37" i="16"/>
  <c r="A33" i="16"/>
  <c r="H33" i="16"/>
  <c r="A29" i="16"/>
  <c r="H29" i="16"/>
  <c r="A25" i="16"/>
  <c r="H25" i="16"/>
  <c r="A21" i="16"/>
  <c r="H21" i="16"/>
  <c r="A17" i="16"/>
  <c r="H17" i="16" s="1"/>
  <c r="A13" i="16"/>
  <c r="H13" i="16"/>
  <c r="A9" i="16"/>
  <c r="H9" i="16"/>
  <c r="A5" i="16"/>
  <c r="H5" i="16"/>
  <c r="A237" i="16"/>
  <c r="H237" i="16"/>
  <c r="A221" i="16"/>
  <c r="H221" i="16"/>
  <c r="A205" i="16"/>
  <c r="H205" i="16" s="1"/>
  <c r="A189" i="16"/>
  <c r="H189" i="16"/>
  <c r="A173" i="16"/>
  <c r="H173" i="16"/>
  <c r="A157" i="16"/>
  <c r="H157" i="16"/>
  <c r="A141" i="16"/>
  <c r="H141" i="16"/>
  <c r="A128" i="16"/>
  <c r="H128" i="16"/>
  <c r="A120" i="16"/>
  <c r="H120" i="16" s="1"/>
  <c r="A116" i="16"/>
  <c r="H116" i="16"/>
  <c r="A112" i="16"/>
  <c r="H112" i="16"/>
  <c r="A108" i="16"/>
  <c r="H108" i="16"/>
  <c r="A104" i="16"/>
  <c r="H104" i="16"/>
  <c r="A100" i="16"/>
  <c r="H100" i="16"/>
  <c r="A96" i="16"/>
  <c r="H96" i="16" s="1"/>
  <c r="A92" i="16"/>
  <c r="H92" i="16"/>
  <c r="A88" i="16"/>
  <c r="H88" i="16"/>
  <c r="A84" i="16"/>
  <c r="H84" i="16"/>
  <c r="A80" i="16"/>
  <c r="H80" i="16"/>
  <c r="A76" i="16"/>
  <c r="H76" i="16"/>
  <c r="A72" i="16"/>
  <c r="H72" i="16" s="1"/>
  <c r="A68" i="16"/>
  <c r="H68" i="16"/>
  <c r="A64" i="16"/>
  <c r="H64" i="16"/>
  <c r="A60" i="16"/>
  <c r="H60" i="16"/>
  <c r="A56" i="16"/>
  <c r="H56" i="16"/>
  <c r="A52" i="16"/>
  <c r="H52" i="16"/>
  <c r="A48" i="16"/>
  <c r="H48" i="16" s="1"/>
  <c r="A44" i="16"/>
  <c r="H44" i="16"/>
  <c r="A40" i="16"/>
  <c r="H40" i="16"/>
  <c r="A36" i="16"/>
  <c r="H36" i="16"/>
  <c r="A32" i="16"/>
  <c r="H32" i="16"/>
  <c r="A28" i="16"/>
  <c r="H28" i="16"/>
  <c r="A24" i="16"/>
  <c r="H24" i="16" s="1"/>
  <c r="A20" i="16"/>
  <c r="H20" i="16"/>
  <c r="A16" i="16"/>
  <c r="H16" i="16"/>
  <c r="A12" i="16"/>
  <c r="H12" i="16"/>
  <c r="A8" i="16"/>
  <c r="H8" i="16"/>
  <c r="A4" i="16"/>
  <c r="H4" i="16"/>
  <c r="A233" i="16"/>
  <c r="H233" i="16" s="1"/>
  <c r="A217" i="16"/>
  <c r="H217" i="16"/>
  <c r="A201" i="16"/>
  <c r="H201" i="16"/>
  <c r="A185" i="16"/>
  <c r="H185" i="16"/>
  <c r="A169" i="16"/>
  <c r="H169" i="16"/>
  <c r="A153" i="16"/>
  <c r="H153" i="16"/>
  <c r="A137" i="16"/>
  <c r="H137" i="16" s="1"/>
  <c r="A125" i="16"/>
  <c r="H125" i="16"/>
  <c r="A119" i="16"/>
  <c r="H119" i="16"/>
  <c r="A115" i="16"/>
  <c r="H115" i="16"/>
  <c r="A111" i="16"/>
  <c r="H111" i="16"/>
  <c r="A107" i="16"/>
  <c r="H107" i="16"/>
  <c r="A103" i="16"/>
  <c r="H103" i="16" s="1"/>
  <c r="A99" i="16"/>
  <c r="H99" i="16"/>
  <c r="A95" i="16"/>
  <c r="H95" i="16"/>
  <c r="A91" i="16"/>
  <c r="H91" i="16"/>
  <c r="A87" i="16"/>
  <c r="H87" i="16"/>
  <c r="A83" i="16"/>
  <c r="H83" i="16"/>
  <c r="A79" i="16"/>
  <c r="H79" i="16" s="1"/>
  <c r="A75" i="16"/>
  <c r="H75" i="16"/>
  <c r="A71" i="16"/>
  <c r="H71" i="16"/>
  <c r="A67" i="16"/>
  <c r="H67" i="16"/>
  <c r="A63" i="16"/>
  <c r="H63" i="16"/>
  <c r="A59" i="16"/>
  <c r="H59" i="16"/>
  <c r="A55" i="16"/>
  <c r="H55" i="16" s="1"/>
  <c r="A51" i="16"/>
  <c r="H51" i="16"/>
  <c r="A47" i="16"/>
  <c r="H47" i="16"/>
  <c r="A43" i="16"/>
  <c r="H43" i="16"/>
  <c r="A39" i="16"/>
  <c r="H39" i="16"/>
  <c r="A35" i="16"/>
  <c r="H35" i="16"/>
  <c r="A31" i="16"/>
  <c r="H31" i="16" s="1"/>
  <c r="A27" i="16"/>
  <c r="H27" i="16"/>
  <c r="A23" i="16"/>
  <c r="H23" i="16"/>
  <c r="A19" i="16"/>
  <c r="H19" i="16"/>
  <c r="A15" i="16"/>
  <c r="H15" i="16"/>
  <c r="A11" i="16"/>
  <c r="H11" i="16"/>
  <c r="A7" i="16"/>
  <c r="H7" i="16" s="1"/>
  <c r="A3" i="16"/>
  <c r="H3" i="16"/>
  <c r="A197" i="16"/>
  <c r="H197" i="16"/>
  <c r="A133" i="16"/>
  <c r="H133" i="16"/>
  <c r="A110" i="16"/>
  <c r="H110" i="16"/>
  <c r="A94" i="16"/>
  <c r="H94" i="16"/>
  <c r="A78" i="16"/>
  <c r="H78" i="16" s="1"/>
  <c r="A62" i="16"/>
  <c r="H62" i="16"/>
  <c r="A46" i="16"/>
  <c r="H46" i="16"/>
  <c r="A30" i="16"/>
  <c r="H30" i="16"/>
  <c r="A14" i="16"/>
  <c r="H14" i="16"/>
  <c r="A181" i="16"/>
  <c r="H181" i="16"/>
  <c r="A124" i="16"/>
  <c r="H124" i="16" s="1"/>
  <c r="A106" i="16"/>
  <c r="H106" i="16"/>
  <c r="A90" i="16"/>
  <c r="H90" i="16"/>
  <c r="A74" i="16"/>
  <c r="H74" i="16"/>
  <c r="A58" i="16"/>
  <c r="H58" i="16"/>
  <c r="A42" i="16"/>
  <c r="H42" i="16"/>
  <c r="A26" i="16"/>
  <c r="H26" i="16" s="1"/>
  <c r="A10" i="16"/>
  <c r="H10" i="16"/>
  <c r="A213" i="16"/>
  <c r="H213" i="16"/>
  <c r="A114" i="16"/>
  <c r="H114" i="16"/>
  <c r="A82" i="16"/>
  <c r="H82" i="16"/>
  <c r="A50" i="16"/>
  <c r="H50" i="16"/>
  <c r="L50" i="16" s="1"/>
  <c r="A18" i="16"/>
  <c r="H18" i="16" s="1"/>
  <c r="A229" i="16"/>
  <c r="H229" i="16"/>
  <c r="A165" i="16"/>
  <c r="H165" i="16"/>
  <c r="A118" i="16"/>
  <c r="H118" i="16"/>
  <c r="A102" i="16"/>
  <c r="H102" i="16"/>
  <c r="A86" i="16"/>
  <c r="H86" i="16"/>
  <c r="A70" i="16"/>
  <c r="H70" i="16" s="1"/>
  <c r="A54" i="16"/>
  <c r="H54" i="16"/>
  <c r="A38" i="16"/>
  <c r="H38" i="16"/>
  <c r="A22" i="16"/>
  <c r="H22" i="16"/>
  <c r="A6" i="16"/>
  <c r="H6" i="16"/>
  <c r="A149" i="16"/>
  <c r="H149" i="16"/>
  <c r="A98" i="16"/>
  <c r="H98" i="16" s="1"/>
  <c r="A66" i="16"/>
  <c r="H66" i="16"/>
  <c r="A34" i="16"/>
  <c r="H34" i="16"/>
  <c r="A2" i="16"/>
  <c r="H2" i="16"/>
  <c r="A481" i="16"/>
  <c r="H481" i="16"/>
  <c r="A477" i="16"/>
  <c r="H477" i="16"/>
  <c r="A473" i="16"/>
  <c r="H473" i="16" s="1"/>
  <c r="A469" i="16"/>
  <c r="H469" i="16"/>
  <c r="A465" i="16"/>
  <c r="H465" i="16"/>
  <c r="A461" i="16"/>
  <c r="H461" i="16"/>
  <c r="A457" i="16"/>
  <c r="H457" i="16"/>
  <c r="A453" i="16"/>
  <c r="H453" i="16"/>
  <c r="A449" i="16"/>
  <c r="H449" i="16" s="1"/>
  <c r="A445" i="16"/>
  <c r="H445" i="16"/>
  <c r="A441" i="16"/>
  <c r="H441" i="16"/>
  <c r="A437" i="16"/>
  <c r="H437" i="16"/>
  <c r="A433" i="16"/>
  <c r="H433" i="16"/>
  <c r="A429" i="16"/>
  <c r="H429" i="16"/>
  <c r="A425" i="16"/>
  <c r="H425" i="16" s="1"/>
  <c r="A421" i="16"/>
  <c r="H421" i="16"/>
  <c r="A417" i="16"/>
  <c r="H417" i="16"/>
  <c r="A413" i="16"/>
  <c r="H413" i="16"/>
  <c r="A409" i="16"/>
  <c r="H409" i="16"/>
  <c r="A405" i="16"/>
  <c r="H405" i="16"/>
  <c r="A401" i="16"/>
  <c r="H401" i="16" s="1"/>
  <c r="A397" i="16"/>
  <c r="H397" i="16"/>
  <c r="A393" i="16"/>
  <c r="H393" i="16"/>
  <c r="A389" i="16"/>
  <c r="H389" i="16"/>
  <c r="A480" i="16"/>
  <c r="H480" i="16"/>
  <c r="A476" i="16"/>
  <c r="H476" i="16"/>
  <c r="A472" i="16"/>
  <c r="H472" i="16" s="1"/>
  <c r="A468" i="16"/>
  <c r="H468" i="16"/>
  <c r="A464" i="16"/>
  <c r="H464" i="16"/>
  <c r="A460" i="16"/>
  <c r="H460" i="16"/>
  <c r="A456" i="16"/>
  <c r="H456" i="16"/>
  <c r="A452" i="16"/>
  <c r="H452" i="16"/>
  <c r="A448" i="16"/>
  <c r="H448" i="16" s="1"/>
  <c r="A444" i="16"/>
  <c r="H444" i="16"/>
  <c r="A440" i="16"/>
  <c r="H440" i="16"/>
  <c r="A436" i="16"/>
  <c r="H436" i="16"/>
  <c r="A432" i="16"/>
  <c r="H432" i="16"/>
  <c r="A428" i="16"/>
  <c r="H428" i="16"/>
  <c r="A424" i="16"/>
  <c r="H424" i="16" s="1"/>
  <c r="A420" i="16"/>
  <c r="H420" i="16"/>
  <c r="A416" i="16"/>
  <c r="H416" i="16"/>
  <c r="A412" i="16"/>
  <c r="H412" i="16"/>
  <c r="A408" i="16"/>
  <c r="H408" i="16"/>
  <c r="A404" i="16"/>
  <c r="H404" i="16"/>
  <c r="A400" i="16"/>
  <c r="H400" i="16" s="1"/>
  <c r="A396" i="16"/>
  <c r="H396" i="16"/>
  <c r="A392" i="16"/>
  <c r="H392" i="16"/>
  <c r="A388" i="16"/>
  <c r="H388" i="16"/>
  <c r="A479" i="16"/>
  <c r="H479" i="16"/>
  <c r="A475" i="16"/>
  <c r="H475" i="16"/>
  <c r="A471" i="16"/>
  <c r="H471" i="16" s="1"/>
  <c r="A467" i="16"/>
  <c r="H467" i="16"/>
  <c r="L467" i="16" s="1"/>
  <c r="A463" i="16"/>
  <c r="H463" i="16"/>
  <c r="A459" i="16"/>
  <c r="H459" i="16"/>
  <c r="A455" i="16"/>
  <c r="H455" i="16"/>
  <c r="A451" i="16"/>
  <c r="H451" i="16"/>
  <c r="L451" i="16" s="1"/>
  <c r="A447" i="16"/>
  <c r="H447" i="16" s="1"/>
  <c r="A443" i="16"/>
  <c r="H443" i="16"/>
  <c r="A439" i="16"/>
  <c r="H439" i="16"/>
  <c r="A435" i="16"/>
  <c r="H435" i="16"/>
  <c r="A431" i="16"/>
  <c r="H431" i="16"/>
  <c r="A427" i="16"/>
  <c r="H427" i="16"/>
  <c r="A423" i="16"/>
  <c r="H423" i="16" s="1"/>
  <c r="A419" i="16"/>
  <c r="H419" i="16"/>
  <c r="A415" i="16"/>
  <c r="H415" i="16"/>
  <c r="A411" i="16"/>
  <c r="H411" i="16"/>
  <c r="A407" i="16"/>
  <c r="H407" i="16"/>
  <c r="A403" i="16"/>
  <c r="H403" i="16"/>
  <c r="A399" i="16"/>
  <c r="H399" i="16" s="1"/>
  <c r="A395" i="16"/>
  <c r="H395" i="16"/>
  <c r="A391" i="16"/>
  <c r="H391" i="16"/>
  <c r="A387" i="16"/>
  <c r="H387" i="16"/>
  <c r="A383" i="16"/>
  <c r="H383" i="16"/>
  <c r="A478" i="16"/>
  <c r="H478" i="16"/>
  <c r="A462" i="16"/>
  <c r="H462" i="16" s="1"/>
  <c r="A446" i="16"/>
  <c r="H446" i="16"/>
  <c r="A430" i="16"/>
  <c r="H430" i="16"/>
  <c r="A414" i="16"/>
  <c r="H414" i="16"/>
  <c r="A398" i="16"/>
  <c r="H398" i="16"/>
  <c r="A385" i="16"/>
  <c r="H385" i="16"/>
  <c r="A380" i="16"/>
  <c r="H380" i="16" s="1"/>
  <c r="A376" i="16"/>
  <c r="H376" i="16"/>
  <c r="A372" i="16"/>
  <c r="H372" i="16"/>
  <c r="A368" i="16"/>
  <c r="H368" i="16"/>
  <c r="A364" i="16"/>
  <c r="H364" i="16"/>
  <c r="A360" i="16"/>
  <c r="H360" i="16"/>
  <c r="A356" i="16"/>
  <c r="H356" i="16" s="1"/>
  <c r="A352" i="16"/>
  <c r="H352" i="16"/>
  <c r="A348" i="16"/>
  <c r="H348" i="16"/>
  <c r="A344" i="16"/>
  <c r="H344" i="16"/>
  <c r="A340" i="16"/>
  <c r="H340" i="16"/>
  <c r="A336" i="16"/>
  <c r="H336" i="16"/>
  <c r="A332" i="16"/>
  <c r="H332" i="16" s="1"/>
  <c r="A328" i="16"/>
  <c r="H328" i="16"/>
  <c r="A324" i="16"/>
  <c r="H324" i="16"/>
  <c r="A320" i="16"/>
  <c r="H320" i="16"/>
  <c r="A316" i="16"/>
  <c r="H316" i="16"/>
  <c r="A312" i="16"/>
  <c r="H312" i="16"/>
  <c r="A308" i="16"/>
  <c r="H308" i="16" s="1"/>
  <c r="A304" i="16"/>
  <c r="H304" i="16"/>
  <c r="A300" i="16"/>
  <c r="H300" i="16"/>
  <c r="A296" i="16"/>
  <c r="H296" i="16"/>
  <c r="A292" i="16"/>
  <c r="H292" i="16"/>
  <c r="A288" i="16"/>
  <c r="H288" i="16"/>
  <c r="A284" i="16"/>
  <c r="H284" i="16" s="1"/>
  <c r="A280" i="16"/>
  <c r="H280" i="16"/>
  <c r="A276" i="16"/>
  <c r="H276" i="16"/>
  <c r="A272" i="16"/>
  <c r="H272" i="16"/>
  <c r="A268" i="16"/>
  <c r="H268" i="16"/>
  <c r="A264" i="16"/>
  <c r="H264" i="16"/>
  <c r="A260" i="16"/>
  <c r="H260" i="16" s="1"/>
  <c r="A256" i="16"/>
  <c r="H256" i="16"/>
  <c r="A252" i="16"/>
  <c r="H252" i="16"/>
  <c r="A248" i="16"/>
  <c r="H248" i="16"/>
  <c r="A244" i="16"/>
  <c r="H244" i="16"/>
  <c r="L244" i="16" s="1"/>
  <c r="A474" i="16"/>
  <c r="H474" i="16"/>
  <c r="A458" i="16"/>
  <c r="H458" i="16" s="1"/>
  <c r="A442" i="16"/>
  <c r="H442" i="16"/>
  <c r="A426" i="16"/>
  <c r="H426" i="16"/>
  <c r="A410" i="16"/>
  <c r="H410" i="16"/>
  <c r="A394" i="16"/>
  <c r="H394" i="16"/>
  <c r="A384" i="16"/>
  <c r="H384" i="16"/>
  <c r="A379" i="16"/>
  <c r="H379" i="16" s="1"/>
  <c r="A375" i="16"/>
  <c r="H375" i="16"/>
  <c r="A371" i="16"/>
  <c r="H371" i="16"/>
  <c r="L371" i="16" s="1"/>
  <c r="A367" i="16"/>
  <c r="H367" i="16"/>
  <c r="A363" i="16"/>
  <c r="H363" i="16"/>
  <c r="A359" i="16"/>
  <c r="H359" i="16"/>
  <c r="A355" i="16"/>
  <c r="H355" i="16" s="1"/>
  <c r="A351" i="16"/>
  <c r="H351" i="16"/>
  <c r="A347" i="16"/>
  <c r="H347" i="16"/>
  <c r="A343" i="16"/>
  <c r="H343" i="16"/>
  <c r="A339" i="16"/>
  <c r="H339" i="16"/>
  <c r="A335" i="16"/>
  <c r="H335" i="16"/>
  <c r="A331" i="16"/>
  <c r="H331" i="16" s="1"/>
  <c r="A327" i="16"/>
  <c r="H327" i="16"/>
  <c r="A323" i="16"/>
  <c r="H323" i="16"/>
  <c r="A319" i="16"/>
  <c r="H319" i="16"/>
  <c r="A315" i="16"/>
  <c r="H315" i="16"/>
  <c r="A311" i="16"/>
  <c r="H311" i="16"/>
  <c r="A307" i="16"/>
  <c r="H307" i="16" s="1"/>
  <c r="A303" i="16"/>
  <c r="H303" i="16"/>
  <c r="A299" i="16"/>
  <c r="H299" i="16"/>
  <c r="A295" i="16"/>
  <c r="H295" i="16"/>
  <c r="A291" i="16"/>
  <c r="H291" i="16"/>
  <c r="A287" i="16"/>
  <c r="H287" i="16"/>
  <c r="A283" i="16"/>
  <c r="H283" i="16" s="1"/>
  <c r="A279" i="16"/>
  <c r="H279" i="16"/>
  <c r="A275" i="16"/>
  <c r="H275" i="16"/>
  <c r="A271" i="16"/>
  <c r="H271" i="16"/>
  <c r="A267" i="16"/>
  <c r="H267" i="16"/>
  <c r="A263" i="16"/>
  <c r="H263" i="16"/>
  <c r="A259" i="16"/>
  <c r="H259" i="16" s="1"/>
  <c r="A255" i="16"/>
  <c r="H255" i="16"/>
  <c r="A251" i="16"/>
  <c r="H251" i="16"/>
  <c r="A247" i="16"/>
  <c r="H247" i="16"/>
  <c r="A243" i="16"/>
  <c r="H243" i="16"/>
  <c r="A470" i="16"/>
  <c r="H470" i="16"/>
  <c r="A454" i="16"/>
  <c r="H454" i="16" s="1"/>
  <c r="A438" i="16"/>
  <c r="H438" i="16"/>
  <c r="A422" i="16"/>
  <c r="H422" i="16"/>
  <c r="A406" i="16"/>
  <c r="H406" i="16"/>
  <c r="A390" i="16"/>
  <c r="H390" i="16"/>
  <c r="A382" i="16"/>
  <c r="H382" i="16"/>
  <c r="A378" i="16"/>
  <c r="H378" i="16" s="1"/>
  <c r="A374" i="16"/>
  <c r="H374" i="16"/>
  <c r="A370" i="16"/>
  <c r="H370" i="16"/>
  <c r="L370" i="16" s="1"/>
  <c r="A366" i="16"/>
  <c r="H366" i="16"/>
  <c r="A362" i="16"/>
  <c r="H362" i="16"/>
  <c r="A358" i="16"/>
  <c r="H358" i="16"/>
  <c r="A354" i="16"/>
  <c r="H354" i="16" s="1"/>
  <c r="A350" i="16"/>
  <c r="H350" i="16"/>
  <c r="A346" i="16"/>
  <c r="H346" i="16"/>
  <c r="A342" i="16"/>
  <c r="H342" i="16"/>
  <c r="A338" i="16"/>
  <c r="H338" i="16"/>
  <c r="A334" i="16"/>
  <c r="H334" i="16"/>
  <c r="A330" i="16"/>
  <c r="H330" i="16" s="1"/>
  <c r="A326" i="16"/>
  <c r="H326" i="16"/>
  <c r="A322" i="16"/>
  <c r="H322" i="16"/>
  <c r="L322" i="16" s="1"/>
  <c r="A318" i="16"/>
  <c r="H318" i="16"/>
  <c r="A314" i="16"/>
  <c r="H314" i="16"/>
  <c r="A310" i="16"/>
  <c r="H310" i="16"/>
  <c r="A306" i="16"/>
  <c r="H306" i="16" s="1"/>
  <c r="A302" i="16"/>
  <c r="H302" i="16"/>
  <c r="A298" i="16"/>
  <c r="H298" i="16"/>
  <c r="A294" i="16"/>
  <c r="H294" i="16"/>
  <c r="A290" i="16"/>
  <c r="H290" i="16"/>
  <c r="L290" i="16" s="1"/>
  <c r="A286" i="16"/>
  <c r="H286" i="16"/>
  <c r="A282" i="16"/>
  <c r="H282" i="16" s="1"/>
  <c r="A278" i="16"/>
  <c r="H278" i="16"/>
  <c r="A274" i="16"/>
  <c r="H274" i="16"/>
  <c r="A270" i="16"/>
  <c r="H270" i="16"/>
  <c r="A266" i="16"/>
  <c r="H266" i="16"/>
  <c r="A262" i="16"/>
  <c r="H262" i="16"/>
  <c r="A258" i="16"/>
  <c r="H258" i="16" s="1"/>
  <c r="A254" i="16"/>
  <c r="H254" i="16"/>
  <c r="A250" i="16"/>
  <c r="H250" i="16"/>
  <c r="A246" i="16"/>
  <c r="H246" i="16"/>
  <c r="A242" i="16"/>
  <c r="H242" i="16"/>
  <c r="A450" i="16"/>
  <c r="H450" i="16"/>
  <c r="A386" i="16"/>
  <c r="H386" i="16" s="1"/>
  <c r="A369" i="16"/>
  <c r="H369" i="16"/>
  <c r="A353" i="16"/>
  <c r="H353" i="16"/>
  <c r="A337" i="16"/>
  <c r="H337" i="16"/>
  <c r="A321" i="16"/>
  <c r="H321" i="16"/>
  <c r="A305" i="16"/>
  <c r="H305" i="16"/>
  <c r="A289" i="16"/>
  <c r="H289" i="16" s="1"/>
  <c r="A273" i="16"/>
  <c r="H273" i="16"/>
  <c r="A257" i="16"/>
  <c r="H257" i="16"/>
  <c r="A434" i="16"/>
  <c r="H434" i="16"/>
  <c r="A381" i="16"/>
  <c r="H381" i="16"/>
  <c r="A365" i="16"/>
  <c r="H365" i="16"/>
  <c r="A349" i="16"/>
  <c r="H349" i="16" s="1"/>
  <c r="A333" i="16"/>
  <c r="H333" i="16"/>
  <c r="A317" i="16"/>
  <c r="H317" i="16"/>
  <c r="A301" i="16"/>
  <c r="H301" i="16"/>
  <c r="A285" i="16"/>
  <c r="H285" i="16"/>
  <c r="A269" i="16"/>
  <c r="H269" i="16"/>
  <c r="A253" i="16"/>
  <c r="H253" i="16" s="1"/>
  <c r="A418" i="16"/>
  <c r="H418" i="16"/>
  <c r="A377" i="16"/>
  <c r="H377" i="16"/>
  <c r="A361" i="16"/>
  <c r="H361" i="16"/>
  <c r="A345" i="16"/>
  <c r="H345" i="16"/>
  <c r="A329" i="16"/>
  <c r="H329" i="16"/>
  <c r="A313" i="16"/>
  <c r="H313" i="16" s="1"/>
  <c r="A297" i="16"/>
  <c r="H297" i="16"/>
  <c r="A281" i="16"/>
  <c r="H281" i="16"/>
  <c r="A265" i="16"/>
  <c r="H265" i="16"/>
  <c r="A249" i="16"/>
  <c r="H249" i="16"/>
  <c r="A402" i="16"/>
  <c r="H402" i="16"/>
  <c r="A325" i="16"/>
  <c r="H325" i="16" s="1"/>
  <c r="A261" i="16"/>
  <c r="H261" i="16"/>
  <c r="A277" i="16"/>
  <c r="H277" i="16"/>
  <c r="L277" i="16" s="1"/>
  <c r="A373" i="16"/>
  <c r="H373" i="16"/>
  <c r="A309" i="16"/>
  <c r="H309" i="16"/>
  <c r="A245" i="16"/>
  <c r="H245" i="16"/>
  <c r="A341" i="16"/>
  <c r="H341" i="16" s="1"/>
  <c r="A357" i="16"/>
  <c r="H357" i="16"/>
  <c r="A293" i="16"/>
  <c r="H293" i="16"/>
  <c r="A466" i="16"/>
  <c r="H466" i="16"/>
  <c r="S23" i="2"/>
  <c r="D479" i="16"/>
  <c r="D415" i="16"/>
  <c r="D351" i="16"/>
  <c r="D287" i="16"/>
  <c r="D223" i="16"/>
  <c r="D159" i="16"/>
  <c r="D95" i="16"/>
  <c r="D31" i="16"/>
  <c r="D463" i="16"/>
  <c r="D399" i="16"/>
  <c r="D335" i="16"/>
  <c r="D271" i="16"/>
  <c r="D207" i="16"/>
  <c r="D143" i="16"/>
  <c r="D79" i="16"/>
  <c r="D15" i="16"/>
  <c r="D447" i="16"/>
  <c r="D383" i="16"/>
  <c r="D319" i="16"/>
  <c r="D255" i="16"/>
  <c r="D191" i="16"/>
  <c r="D127" i="16"/>
  <c r="D63" i="16"/>
  <c r="D431" i="16"/>
  <c r="D367" i="16"/>
  <c r="D303" i="16"/>
  <c r="D239" i="16"/>
  <c r="D175" i="16"/>
  <c r="D111" i="16"/>
  <c r="D47" i="16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L195" i="16" s="1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L340" i="16" s="1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L99" i="16" s="1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L291" i="16" s="1"/>
  <c r="K163" i="16"/>
  <c r="K35" i="16"/>
  <c r="L35" i="16" s="1"/>
  <c r="K371" i="16"/>
  <c r="K243" i="16"/>
  <c r="L243" i="16" s="1"/>
  <c r="K115" i="16"/>
  <c r="J420" i="16"/>
  <c r="J404" i="16"/>
  <c r="J339" i="16"/>
  <c r="L339" i="16" s="1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L181" i="16" s="1"/>
  <c r="J165" i="16"/>
  <c r="J101" i="16"/>
  <c r="L101" i="16" s="1"/>
  <c r="J85" i="16"/>
  <c r="J21" i="16"/>
  <c r="L21" i="16" s="1"/>
  <c r="J5" i="16"/>
  <c r="L5" i="16" s="1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L338" i="16" s="1"/>
  <c r="J322" i="16"/>
  <c r="J258" i="16"/>
  <c r="J242" i="16"/>
  <c r="J178" i="16"/>
  <c r="L178" i="16" s="1"/>
  <c r="J162" i="16"/>
  <c r="J98" i="16"/>
  <c r="J82" i="16"/>
  <c r="J18" i="16"/>
  <c r="L18" i="16" s="1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L226" i="16" s="1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L149" i="16" s="1"/>
  <c r="J229" i="16"/>
  <c r="J309" i="16"/>
  <c r="L309" i="16" s="1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L468" i="16" s="1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L386" i="16" s="1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133" i="16"/>
  <c r="K261" i="16"/>
  <c r="K389" i="16"/>
  <c r="K117" i="16"/>
  <c r="K245" i="16"/>
  <c r="K373" i="16"/>
  <c r="K37" i="16"/>
  <c r="K165" i="16"/>
  <c r="K293" i="16"/>
  <c r="K421" i="16"/>
  <c r="L421" i="16" s="1"/>
  <c r="K21" i="16"/>
  <c r="K149" i="16"/>
  <c r="K277" i="16"/>
  <c r="K405" i="16"/>
  <c r="K69" i="16"/>
  <c r="K197" i="16"/>
  <c r="K325" i="16"/>
  <c r="K453" i="16"/>
  <c r="L453" i="16" s="1"/>
  <c r="K53" i="16"/>
  <c r="K181" i="16"/>
  <c r="K309" i="16"/>
  <c r="K437" i="16"/>
  <c r="K101" i="16"/>
  <c r="K229" i="16"/>
  <c r="K357" i="16"/>
  <c r="K85" i="16"/>
  <c r="K213" i="16"/>
  <c r="K341" i="16"/>
  <c r="K469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/>
  <c r="E20" i="4"/>
  <c r="F20" i="4"/>
  <c r="G66" i="4"/>
  <c r="J33" i="1"/>
  <c r="F66" i="4"/>
  <c r="E90" i="4"/>
  <c r="F54" i="1"/>
  <c r="G54" i="1"/>
  <c r="C54" i="1"/>
  <c r="A54" i="1"/>
  <c r="D54" i="1"/>
  <c r="D30" i="4"/>
  <c r="G86" i="4"/>
  <c r="E76" i="4"/>
  <c r="E80" i="4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/>
  <c r="D10" i="4"/>
  <c r="F58" i="4"/>
  <c r="F12" i="4"/>
  <c r="F67" i="4"/>
  <c r="F21" i="4"/>
  <c r="D79" i="4"/>
  <c r="D59" i="4"/>
  <c r="D33" i="4"/>
  <c r="D89" i="4"/>
  <c r="D90" i="4"/>
  <c r="D23" i="4"/>
  <c r="D69" i="4"/>
  <c r="D13" i="4"/>
  <c r="F69" i="4"/>
  <c r="G89" i="4"/>
  <c r="G69" i="4"/>
  <c r="G59" i="4"/>
  <c r="F79" i="4"/>
  <c r="F33" i="4"/>
  <c r="G79" i="4"/>
  <c r="H89" i="4"/>
  <c r="H90" i="4"/>
  <c r="F89" i="4"/>
  <c r="F90" i="4"/>
  <c r="F23" i="4"/>
  <c r="D43" i="4"/>
  <c r="G23" i="4"/>
  <c r="G13" i="4"/>
  <c r="F13" i="4"/>
  <c r="H43" i="4"/>
  <c r="H79" i="4"/>
  <c r="H80" i="4"/>
  <c r="H33" i="4"/>
  <c r="G33" i="4"/>
  <c r="F59" i="4"/>
  <c r="K97" i="2"/>
  <c r="D97" i="2"/>
  <c r="M97" i="2"/>
  <c r="G44" i="1"/>
  <c r="E44" i="1"/>
  <c r="E44" i="4"/>
  <c r="C44" i="1"/>
  <c r="I44" i="1"/>
  <c r="K44" i="1"/>
  <c r="F44" i="4"/>
  <c r="AT36" i="2"/>
  <c r="AV36" i="2" s="1"/>
  <c r="L402" i="16"/>
  <c r="L164" i="16"/>
  <c r="L3" i="16"/>
  <c r="L2" i="16"/>
  <c r="L211" i="16"/>
  <c r="L133" i="16"/>
  <c r="L242" i="16"/>
  <c r="L130" i="16"/>
  <c r="L228" i="16"/>
  <c r="L403" i="16"/>
  <c r="L52" i="16"/>
  <c r="L165" i="16"/>
  <c r="L261" i="16"/>
  <c r="L323" i="16"/>
  <c r="L450" i="16"/>
  <c r="L274" i="16"/>
  <c r="L83" i="16"/>
  <c r="L19" i="16"/>
  <c r="L387" i="16"/>
  <c r="L163" i="16"/>
  <c r="L259" i="16"/>
  <c r="L100" i="16"/>
  <c r="L115" i="16"/>
  <c r="L420" i="16"/>
  <c r="L212" i="16"/>
  <c r="L355" i="16"/>
  <c r="L162" i="16"/>
  <c r="L466" i="16"/>
  <c r="L306" i="16"/>
  <c r="L419" i="16"/>
  <c r="L229" i="16"/>
  <c r="L116" i="16"/>
  <c r="L131" i="16"/>
  <c r="L34" i="16"/>
  <c r="L452" i="16"/>
  <c r="L324" i="16"/>
  <c r="L372" i="16"/>
  <c r="L418" i="16"/>
  <c r="L354" i="16"/>
  <c r="L275" i="16"/>
  <c r="L469" i="16"/>
  <c r="L341" i="16"/>
  <c r="L85" i="16"/>
  <c r="L436" i="16"/>
  <c r="L180" i="16"/>
  <c r="L389" i="16"/>
  <c r="L357" i="16"/>
  <c r="L437" i="16"/>
  <c r="L53" i="16"/>
  <c r="L404" i="16"/>
  <c r="L276" i="16"/>
  <c r="L148" i="16"/>
  <c r="L356" i="16"/>
  <c r="L36" i="16"/>
  <c r="L307" i="16"/>
  <c r="L405" i="16"/>
  <c r="L84" i="16"/>
  <c r="L325" i="16"/>
  <c r="L197" i="16"/>
  <c r="L388" i="16"/>
  <c r="L260" i="16"/>
  <c r="L132" i="16"/>
  <c r="L245" i="16"/>
  <c r="L146" i="16"/>
  <c r="L210" i="16"/>
  <c r="L435" i="16"/>
  <c r="L82" i="16"/>
  <c r="L194" i="16"/>
  <c r="L147" i="16"/>
  <c r="L98" i="16"/>
  <c r="L179" i="16"/>
  <c r="L51" i="16"/>
  <c r="L373" i="16"/>
  <c r="L434" i="16"/>
  <c r="L114" i="16"/>
  <c r="L227" i="16"/>
  <c r="L196" i="16"/>
  <c r="D33" i="1"/>
  <c r="AV16" i="2"/>
  <c r="AV5" i="2"/>
  <c r="J48" i="1"/>
  <c r="J49" i="1" s="1"/>
  <c r="AQ36" i="2"/>
  <c r="Y49" i="6"/>
  <c r="AI49" i="6" s="1"/>
  <c r="T49" i="6"/>
  <c r="AQ53" i="2"/>
  <c r="AT53" i="2"/>
  <c r="AT25" i="2"/>
  <c r="AV25" i="2" s="1"/>
  <c r="AQ51" i="2"/>
  <c r="AT31" i="2"/>
  <c r="H25" i="1"/>
  <c r="I47" i="1"/>
  <c r="I49" i="1"/>
  <c r="H36" i="1"/>
  <c r="E49" i="1"/>
  <c r="D36" i="1"/>
  <c r="J36" i="1"/>
  <c r="J37" i="1"/>
  <c r="H34" i="1"/>
  <c r="H35" i="1"/>
  <c r="D23" i="1"/>
  <c r="H23" i="1"/>
  <c r="H33" i="1"/>
  <c r="C47" i="1"/>
  <c r="C49" i="1"/>
  <c r="F44" i="1"/>
  <c r="F33" i="1"/>
  <c r="F37" i="1"/>
  <c r="G47" i="1"/>
  <c r="G49" i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/>
  <c r="E14" i="4"/>
  <c r="D44" i="1"/>
  <c r="D49" i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D37" i="1"/>
  <c r="X49" i="6"/>
  <c r="AV31" i="2"/>
  <c r="AV53" i="2"/>
  <c r="D27" i="1"/>
  <c r="J27" i="1"/>
  <c r="H27" i="1"/>
  <c r="H37" i="1"/>
  <c r="B49" i="1"/>
  <c r="F49" i="1"/>
  <c r="H49" i="1"/>
  <c r="AT14" i="2" l="1"/>
  <c r="AV14" i="2" s="1"/>
  <c r="L293" i="16"/>
  <c r="D394" i="16"/>
  <c r="Z49" i="6"/>
  <c r="AD49" i="6" s="1"/>
  <c r="L67" i="16"/>
  <c r="AT32" i="2"/>
  <c r="AV32" i="2" s="1"/>
  <c r="AQ25" i="2"/>
  <c r="L308" i="16"/>
  <c r="L213" i="16"/>
  <c r="L66" i="16"/>
  <c r="D234" i="16"/>
  <c r="D330" i="16"/>
  <c r="D442" i="16"/>
  <c r="D154" i="16"/>
  <c r="D346" i="16"/>
  <c r="D170" i="16"/>
  <c r="D266" i="16"/>
  <c r="D314" i="16"/>
  <c r="D26" i="16"/>
  <c r="D218" i="16"/>
  <c r="D106" i="16"/>
  <c r="D202" i="16"/>
  <c r="D186" i="16"/>
  <c r="D378" i="16"/>
  <c r="D90" i="16"/>
  <c r="D426" i="16"/>
  <c r="D42" i="16"/>
  <c r="D138" i="16"/>
  <c r="D58" i="16"/>
  <c r="D250" i="16"/>
  <c r="D362" i="16"/>
  <c r="D458" i="16"/>
  <c r="D74" i="16"/>
  <c r="D410" i="16"/>
  <c r="D122" i="16"/>
  <c r="AT30" i="2"/>
  <c r="AV30" i="2" s="1"/>
  <c r="L69" i="16"/>
  <c r="L258" i="16"/>
  <c r="D474" i="16"/>
  <c r="AQ14" i="2"/>
  <c r="D282" i="16"/>
  <c r="AZ14" i="2"/>
  <c r="AZ56" i="2"/>
  <c r="AK408" i="2"/>
  <c r="AK330" i="2"/>
  <c r="AK387" i="2"/>
  <c r="AK386" i="2"/>
  <c r="AK373" i="2"/>
  <c r="AK384" i="2"/>
  <c r="AK452" i="2"/>
  <c r="AK295" i="2"/>
  <c r="AK460" i="2"/>
  <c r="AK417" i="2"/>
  <c r="AK364" i="2"/>
  <c r="AK389" i="2"/>
  <c r="AK298" i="2"/>
  <c r="AK363" i="2"/>
  <c r="AK481" i="2"/>
  <c r="AK396" i="2"/>
  <c r="AK391" i="2"/>
  <c r="AK362" i="2"/>
  <c r="AK473" i="2"/>
  <c r="AK297" i="2"/>
  <c r="AK388" i="2"/>
  <c r="AK296" i="2"/>
  <c r="AK385" i="2"/>
  <c r="AK474" i="2"/>
  <c r="AK294" i="2"/>
  <c r="AK372" i="2"/>
  <c r="AK390" i="2"/>
  <c r="AK299" i="2"/>
  <c r="AK407" i="2"/>
  <c r="AK393" i="2"/>
  <c r="G70" i="16"/>
  <c r="M70" i="16" s="1"/>
  <c r="G79" i="16"/>
  <c r="M79" i="16" s="1"/>
  <c r="G150" i="16"/>
  <c r="M150" i="16" s="1"/>
  <c r="G149" i="16"/>
  <c r="M149" i="16" s="1"/>
  <c r="G158" i="16"/>
  <c r="M158" i="16" s="1"/>
  <c r="G66" i="16"/>
  <c r="M66" i="16" s="1"/>
  <c r="G73" i="16"/>
  <c r="M73" i="16" s="1"/>
  <c r="G68" i="16"/>
  <c r="M68" i="16" s="1"/>
  <c r="G75" i="16"/>
  <c r="M75" i="16" s="1"/>
  <c r="G152" i="16"/>
  <c r="M152" i="16" s="1"/>
  <c r="G161" i="16"/>
  <c r="M161" i="16" s="1"/>
  <c r="G69" i="16"/>
  <c r="M69" i="16" s="1"/>
  <c r="G160" i="16"/>
  <c r="M160" i="16" s="1"/>
  <c r="G67" i="16"/>
  <c r="M67" i="16" s="1"/>
  <c r="G148" i="16"/>
  <c r="M148" i="16" s="1"/>
  <c r="G155" i="16"/>
  <c r="M155" i="16" s="1"/>
  <c r="G153" i="16"/>
  <c r="M153" i="16" s="1"/>
  <c r="G78" i="16"/>
  <c r="M78" i="16" s="1"/>
  <c r="G154" i="16"/>
  <c r="M154" i="16" s="1"/>
  <c r="G80" i="16"/>
  <c r="M80" i="16" s="1"/>
  <c r="G151" i="16"/>
  <c r="M151" i="16" s="1"/>
  <c r="G81" i="16"/>
  <c r="M81" i="16" s="1"/>
  <c r="G146" i="16"/>
  <c r="M146" i="16" s="1"/>
  <c r="G72" i="16"/>
  <c r="M72" i="16" s="1"/>
  <c r="G74" i="16"/>
  <c r="M74" i="16" s="1"/>
  <c r="G147" i="16"/>
  <c r="M147" i="16" s="1"/>
  <c r="G71" i="16"/>
  <c r="M71" i="16" s="1"/>
  <c r="G159" i="16"/>
  <c r="M159" i="16" s="1"/>
  <c r="K6" i="10"/>
  <c r="G6" i="10"/>
  <c r="Q6" i="16"/>
  <c r="D64" i="16"/>
  <c r="D224" i="16"/>
  <c r="D432" i="16"/>
  <c r="D160" i="16"/>
  <c r="D368" i="16"/>
  <c r="D96" i="16"/>
  <c r="D304" i="16"/>
  <c r="D32" i="16"/>
  <c r="D240" i="16"/>
  <c r="D464" i="16"/>
  <c r="D176" i="16"/>
  <c r="D400" i="16"/>
  <c r="D448" i="16"/>
  <c r="D112" i="16"/>
  <c r="D336" i="16"/>
  <c r="D384" i="16"/>
  <c r="D48" i="16"/>
  <c r="D272" i="16"/>
  <c r="D320" i="16"/>
  <c r="D480" i="16"/>
  <c r="D208" i="16"/>
  <c r="D256" i="16"/>
  <c r="D416" i="16"/>
  <c r="D144" i="16"/>
  <c r="D192" i="16"/>
  <c r="D352" i="16"/>
  <c r="D80" i="16"/>
  <c r="I168" i="10"/>
  <c r="W7" i="2"/>
  <c r="K128" i="16" s="1"/>
  <c r="L128" i="16" s="1"/>
  <c r="D231" i="16"/>
  <c r="D407" i="16"/>
  <c r="D455" i="16"/>
  <c r="D167" i="16"/>
  <c r="D279" i="16"/>
  <c r="D391" i="16"/>
  <c r="D103" i="16"/>
  <c r="D151" i="16"/>
  <c r="D327" i="16"/>
  <c r="K327" i="16" s="1"/>
  <c r="L327" i="16" s="1"/>
  <c r="D39" i="16"/>
  <c r="D23" i="16"/>
  <c r="D263" i="16"/>
  <c r="D471" i="16"/>
  <c r="D375" i="16"/>
  <c r="D199" i="16"/>
  <c r="D343" i="16"/>
  <c r="D247" i="16"/>
  <c r="D135" i="16"/>
  <c r="D215" i="16"/>
  <c r="D119" i="16"/>
  <c r="D71" i="16"/>
  <c r="K71" i="16" s="1"/>
  <c r="L71" i="16" s="1"/>
  <c r="D87" i="16"/>
  <c r="D7" i="16"/>
  <c r="D439" i="16"/>
  <c r="D423" i="16"/>
  <c r="D311" i="16"/>
  <c r="D359" i="16"/>
  <c r="D183" i="16"/>
  <c r="G280" i="16"/>
  <c r="M280" i="16" s="1"/>
  <c r="K171" i="16" l="1"/>
  <c r="L171" i="16" s="1"/>
  <c r="K103" i="16"/>
  <c r="L103" i="16" s="1"/>
  <c r="K90" i="16"/>
  <c r="L90" i="16" s="1"/>
  <c r="K442" i="16"/>
  <c r="L442" i="16" s="1"/>
  <c r="K441" i="16"/>
  <c r="L441" i="16" s="1"/>
  <c r="K298" i="16"/>
  <c r="L298" i="16" s="1"/>
  <c r="K426" i="16"/>
  <c r="L426" i="16" s="1"/>
  <c r="K215" i="16"/>
  <c r="L215" i="16" s="1"/>
  <c r="K135" i="16"/>
  <c r="L135" i="16" s="1"/>
  <c r="K391" i="16"/>
  <c r="L391" i="16" s="1"/>
  <c r="K91" i="16"/>
  <c r="L91" i="16" s="1"/>
  <c r="K384" i="16"/>
  <c r="L384" i="16" s="1"/>
  <c r="K160" i="16"/>
  <c r="L160" i="16" s="1"/>
  <c r="K282" i="16"/>
  <c r="L282" i="16" s="1"/>
  <c r="K378" i="16"/>
  <c r="L378" i="16" s="1"/>
  <c r="K330" i="16"/>
  <c r="L330" i="16" s="1"/>
  <c r="K272" i="16"/>
  <c r="L272" i="16" s="1"/>
  <c r="K154" i="16"/>
  <c r="L154" i="16" s="1"/>
  <c r="K368" i="16"/>
  <c r="L368" i="16" s="1"/>
  <c r="K283" i="16"/>
  <c r="L283" i="16" s="1"/>
  <c r="K247" i="16"/>
  <c r="L247" i="16" s="1"/>
  <c r="K279" i="16"/>
  <c r="L279" i="16" s="1"/>
  <c r="K80" i="16"/>
  <c r="L80" i="16" s="1"/>
  <c r="K336" i="16"/>
  <c r="L336" i="16" s="1"/>
  <c r="K432" i="16"/>
  <c r="L432" i="16" s="1"/>
  <c r="K122" i="16"/>
  <c r="L122" i="16" s="1"/>
  <c r="K186" i="16"/>
  <c r="L186" i="16" s="1"/>
  <c r="K234" i="16"/>
  <c r="L234" i="16" s="1"/>
  <c r="K320" i="16"/>
  <c r="L320" i="16" s="1"/>
  <c r="K346" i="16"/>
  <c r="L346" i="16" s="1"/>
  <c r="K96" i="16"/>
  <c r="L96" i="16" s="1"/>
  <c r="K75" i="16"/>
  <c r="L75" i="16" s="1"/>
  <c r="K183" i="16"/>
  <c r="L183" i="16" s="1"/>
  <c r="K343" i="16"/>
  <c r="L343" i="16" s="1"/>
  <c r="K167" i="16"/>
  <c r="L167" i="16" s="1"/>
  <c r="K352" i="16"/>
  <c r="L352" i="16" s="1"/>
  <c r="K112" i="16"/>
  <c r="L112" i="16" s="1"/>
  <c r="K224" i="16"/>
  <c r="L224" i="16" s="1"/>
  <c r="K410" i="16"/>
  <c r="L410" i="16" s="1"/>
  <c r="K202" i="16"/>
  <c r="L202" i="16" s="1"/>
  <c r="K42" i="16"/>
  <c r="L42" i="16" s="1"/>
  <c r="K119" i="16"/>
  <c r="L119" i="16" s="1"/>
  <c r="K359" i="16"/>
  <c r="L359" i="16" s="1"/>
  <c r="K199" i="16"/>
  <c r="L199" i="16" s="1"/>
  <c r="K455" i="16"/>
  <c r="L455" i="16" s="1"/>
  <c r="K192" i="16"/>
  <c r="L192" i="16" s="1"/>
  <c r="K448" i="16"/>
  <c r="L448" i="16" s="1"/>
  <c r="K64" i="16"/>
  <c r="L64" i="16" s="1"/>
  <c r="K10" i="16"/>
  <c r="L10" i="16" s="1"/>
  <c r="K74" i="16"/>
  <c r="L74" i="16" s="1"/>
  <c r="K106" i="16"/>
  <c r="L106" i="16" s="1"/>
  <c r="K329" i="16"/>
  <c r="L329" i="16" s="1"/>
  <c r="K151" i="16"/>
  <c r="L151" i="16" s="1"/>
  <c r="K41" i="16"/>
  <c r="L41" i="16" s="1"/>
  <c r="K48" i="16"/>
  <c r="L48" i="16" s="1"/>
  <c r="K311" i="16"/>
  <c r="L311" i="16" s="1"/>
  <c r="K375" i="16"/>
  <c r="L375" i="16" s="1"/>
  <c r="K407" i="16"/>
  <c r="L407" i="16" s="1"/>
  <c r="K144" i="16"/>
  <c r="L144" i="16" s="1"/>
  <c r="K400" i="16"/>
  <c r="L400" i="16" s="1"/>
  <c r="K474" i="16"/>
  <c r="L474" i="16" s="1"/>
  <c r="K458" i="16"/>
  <c r="L458" i="16" s="1"/>
  <c r="K218" i="16"/>
  <c r="L218" i="16" s="1"/>
  <c r="K304" i="16"/>
  <c r="L304" i="16" s="1"/>
  <c r="K471" i="16"/>
  <c r="L471" i="16" s="1"/>
  <c r="K176" i="16"/>
  <c r="L176" i="16" s="1"/>
  <c r="K362" i="16"/>
  <c r="L362" i="16" s="1"/>
  <c r="K26" i="16"/>
  <c r="L26" i="16" s="1"/>
  <c r="K425" i="16"/>
  <c r="L425" i="16" s="1"/>
  <c r="K439" i="16"/>
  <c r="L439" i="16" s="1"/>
  <c r="K263" i="16"/>
  <c r="L263" i="16" s="1"/>
  <c r="K139" i="16"/>
  <c r="L139" i="16" s="1"/>
  <c r="K256" i="16"/>
  <c r="L256" i="16" s="1"/>
  <c r="K464" i="16"/>
  <c r="L464" i="16" s="1"/>
  <c r="K250" i="16"/>
  <c r="L250" i="16" s="1"/>
  <c r="K314" i="16"/>
  <c r="L314" i="16" s="1"/>
  <c r="K394" i="16"/>
  <c r="L394" i="16" s="1"/>
  <c r="K231" i="16"/>
  <c r="L231" i="16" s="1"/>
  <c r="K7" i="16"/>
  <c r="L7" i="16" s="1"/>
  <c r="K23" i="16"/>
  <c r="L23" i="16" s="1"/>
  <c r="K219" i="16"/>
  <c r="L219" i="16" s="1"/>
  <c r="K208" i="16"/>
  <c r="L208" i="16" s="1"/>
  <c r="K240" i="16"/>
  <c r="L240" i="16" s="1"/>
  <c r="K235" i="16"/>
  <c r="L235" i="16" s="1"/>
  <c r="K58" i="16"/>
  <c r="L58" i="16" s="1"/>
  <c r="K266" i="16"/>
  <c r="L266" i="16" s="1"/>
  <c r="D358" i="16"/>
  <c r="K358" i="16" s="1"/>
  <c r="L358" i="16" s="1"/>
  <c r="D246" i="16"/>
  <c r="K246" i="16" s="1"/>
  <c r="L246" i="16" s="1"/>
  <c r="D230" i="16"/>
  <c r="K230" i="16" s="1"/>
  <c r="L230" i="16" s="1"/>
  <c r="D214" i="16"/>
  <c r="K214" i="16" s="1"/>
  <c r="L214" i="16" s="1"/>
  <c r="D262" i="16"/>
  <c r="K262" i="16" s="1"/>
  <c r="L262" i="16" s="1"/>
  <c r="K395" i="16"/>
  <c r="L395" i="16" s="1"/>
  <c r="K11" i="16"/>
  <c r="L11" i="16" s="1"/>
  <c r="K107" i="16"/>
  <c r="L107" i="16" s="1"/>
  <c r="K443" i="16"/>
  <c r="L443" i="16" s="1"/>
  <c r="K155" i="16"/>
  <c r="L155" i="16" s="1"/>
  <c r="D454" i="16"/>
  <c r="K454" i="16" s="1"/>
  <c r="L454" i="16" s="1"/>
  <c r="D182" i="16"/>
  <c r="K182" i="16" s="1"/>
  <c r="L182" i="16" s="1"/>
  <c r="D166" i="16"/>
  <c r="K166" i="16" s="1"/>
  <c r="L166" i="16" s="1"/>
  <c r="D150" i="16"/>
  <c r="K150" i="16" s="1"/>
  <c r="L150" i="16" s="1"/>
  <c r="D6" i="16"/>
  <c r="K6" i="16" s="1"/>
  <c r="L6" i="16" s="1"/>
  <c r="K331" i="16"/>
  <c r="L331" i="16" s="1"/>
  <c r="K427" i="16"/>
  <c r="L427" i="16" s="1"/>
  <c r="K43" i="16"/>
  <c r="L43" i="16" s="1"/>
  <c r="K315" i="16"/>
  <c r="L315" i="16" s="1"/>
  <c r="K27" i="16"/>
  <c r="L27" i="16" s="1"/>
  <c r="D390" i="16"/>
  <c r="K390" i="16" s="1"/>
  <c r="L390" i="16" s="1"/>
  <c r="D118" i="16"/>
  <c r="K118" i="16" s="1"/>
  <c r="L118" i="16" s="1"/>
  <c r="D102" i="16"/>
  <c r="K102" i="16" s="1"/>
  <c r="L102" i="16" s="1"/>
  <c r="D86" i="16"/>
  <c r="K86" i="16" s="1"/>
  <c r="L86" i="16" s="1"/>
  <c r="D198" i="16"/>
  <c r="K198" i="16" s="1"/>
  <c r="L198" i="16" s="1"/>
  <c r="K267" i="16"/>
  <c r="L267" i="16" s="1"/>
  <c r="K363" i="16"/>
  <c r="L363" i="16" s="1"/>
  <c r="K475" i="16"/>
  <c r="L475" i="16" s="1"/>
  <c r="K187" i="16"/>
  <c r="L187" i="16" s="1"/>
  <c r="K379" i="16"/>
  <c r="L379" i="16" s="1"/>
  <c r="D326" i="16"/>
  <c r="K326" i="16" s="1"/>
  <c r="L326" i="16" s="1"/>
  <c r="D54" i="16"/>
  <c r="K54" i="16" s="1"/>
  <c r="L54" i="16" s="1"/>
  <c r="D38" i="16"/>
  <c r="K38" i="16" s="1"/>
  <c r="L38" i="16" s="1"/>
  <c r="D22" i="16"/>
  <c r="K22" i="16" s="1"/>
  <c r="L22" i="16" s="1"/>
  <c r="D470" i="16"/>
  <c r="K470" i="16" s="1"/>
  <c r="L470" i="16" s="1"/>
  <c r="K203" i="16"/>
  <c r="L203" i="16" s="1"/>
  <c r="K299" i="16"/>
  <c r="L299" i="16" s="1"/>
  <c r="K347" i="16"/>
  <c r="L347" i="16" s="1"/>
  <c r="K59" i="16"/>
  <c r="L59" i="16" s="1"/>
  <c r="K251" i="16"/>
  <c r="L251" i="16" s="1"/>
  <c r="D438" i="16"/>
  <c r="K438" i="16" s="1"/>
  <c r="L438" i="16" s="1"/>
  <c r="D406" i="16"/>
  <c r="K406" i="16" s="1"/>
  <c r="L406" i="16" s="1"/>
  <c r="D374" i="16"/>
  <c r="K374" i="16" s="1"/>
  <c r="L374" i="16" s="1"/>
  <c r="D342" i="16"/>
  <c r="K342" i="16" s="1"/>
  <c r="L342" i="16" s="1"/>
  <c r="D134" i="16"/>
  <c r="K134" i="16" s="1"/>
  <c r="L134" i="16" s="1"/>
  <c r="D310" i="16"/>
  <c r="K310" i="16" s="1"/>
  <c r="L310" i="16" s="1"/>
  <c r="D70" i="16"/>
  <c r="K70" i="16" s="1"/>
  <c r="L70" i="16" s="1"/>
  <c r="K344" i="16"/>
  <c r="L344" i="16" s="1"/>
  <c r="K456" i="16"/>
  <c r="L456" i="16" s="1"/>
  <c r="K369" i="16"/>
  <c r="L369" i="16" s="1"/>
  <c r="K93" i="16"/>
  <c r="L93" i="16" s="1"/>
  <c r="K477" i="16"/>
  <c r="L477" i="16" s="1"/>
  <c r="K351" i="16"/>
  <c r="L351" i="16" s="1"/>
  <c r="K463" i="16"/>
  <c r="L463" i="16" s="1"/>
  <c r="K79" i="16"/>
  <c r="L79" i="16" s="1"/>
  <c r="K191" i="16"/>
  <c r="L191" i="16" s="1"/>
  <c r="K239" i="16"/>
  <c r="L239" i="16" s="1"/>
  <c r="K472" i="16"/>
  <c r="L472" i="16" s="1"/>
  <c r="K17" i="16"/>
  <c r="L17" i="16" s="1"/>
  <c r="K401" i="16"/>
  <c r="L401" i="16" s="1"/>
  <c r="K125" i="16"/>
  <c r="L125" i="16" s="1"/>
  <c r="K46" i="16"/>
  <c r="L46" i="16" s="1"/>
  <c r="K257" i="16"/>
  <c r="L257" i="16" s="1"/>
  <c r="K318" i="16"/>
  <c r="L318" i="16" s="1"/>
  <c r="K312" i="16"/>
  <c r="L312" i="16" s="1"/>
  <c r="K296" i="16"/>
  <c r="L296" i="16" s="1"/>
  <c r="K333" i="16"/>
  <c r="L333" i="16" s="1"/>
  <c r="K348" i="16"/>
  <c r="L348" i="16" s="1"/>
  <c r="K206" i="16"/>
  <c r="L206" i="16" s="1"/>
  <c r="K236" i="16"/>
  <c r="L236" i="16" s="1"/>
  <c r="K270" i="16"/>
  <c r="L270" i="16" s="1"/>
  <c r="K265" i="16"/>
  <c r="L265" i="16" s="1"/>
  <c r="K361" i="16"/>
  <c r="L361" i="16" s="1"/>
  <c r="K409" i="16"/>
  <c r="L409" i="16" s="1"/>
  <c r="K121" i="16"/>
  <c r="L121" i="16" s="1"/>
  <c r="K313" i="16"/>
  <c r="L313" i="16" s="1"/>
  <c r="K287" i="16"/>
  <c r="L287" i="16" s="1"/>
  <c r="K399" i="16"/>
  <c r="L399" i="16" s="1"/>
  <c r="K15" i="16"/>
  <c r="L15" i="16" s="1"/>
  <c r="K127" i="16"/>
  <c r="L127" i="16" s="1"/>
  <c r="K175" i="16"/>
  <c r="L175" i="16" s="1"/>
  <c r="K55" i="16"/>
  <c r="L55" i="16" s="1"/>
  <c r="K81" i="16"/>
  <c r="L81" i="16" s="1"/>
  <c r="K465" i="16"/>
  <c r="L465" i="16" s="1"/>
  <c r="K189" i="16"/>
  <c r="L189" i="16" s="1"/>
  <c r="K174" i="16"/>
  <c r="L174" i="16" s="1"/>
  <c r="K24" i="16"/>
  <c r="L24" i="16" s="1"/>
  <c r="K136" i="16"/>
  <c r="L136" i="16" s="1"/>
  <c r="K321" i="16"/>
  <c r="L321" i="16" s="1"/>
  <c r="K446" i="16"/>
  <c r="L446" i="16" s="1"/>
  <c r="K13" i="16"/>
  <c r="L13" i="16" s="1"/>
  <c r="K397" i="16"/>
  <c r="L397" i="16" s="1"/>
  <c r="K284" i="16"/>
  <c r="L284" i="16" s="1"/>
  <c r="K172" i="16"/>
  <c r="L172" i="16" s="1"/>
  <c r="D294" i="16"/>
  <c r="K294" i="16" s="1"/>
  <c r="L294" i="16" s="1"/>
  <c r="K201" i="16"/>
  <c r="L201" i="16" s="1"/>
  <c r="K297" i="16"/>
  <c r="L297" i="16" s="1"/>
  <c r="K281" i="16"/>
  <c r="L281" i="16" s="1"/>
  <c r="K473" i="16"/>
  <c r="L473" i="16" s="1"/>
  <c r="K185" i="16"/>
  <c r="L185" i="16" s="1"/>
  <c r="K223" i="16"/>
  <c r="L223" i="16" s="1"/>
  <c r="K335" i="16"/>
  <c r="L335" i="16" s="1"/>
  <c r="K447" i="16"/>
  <c r="L447" i="16" s="1"/>
  <c r="K63" i="16"/>
  <c r="L63" i="16" s="1"/>
  <c r="K111" i="16"/>
  <c r="L111" i="16" s="1"/>
  <c r="K145" i="16"/>
  <c r="L145" i="16" s="1"/>
  <c r="K94" i="16"/>
  <c r="L94" i="16" s="1"/>
  <c r="K253" i="16"/>
  <c r="L253" i="16" s="1"/>
  <c r="K302" i="16"/>
  <c r="L302" i="16" s="1"/>
  <c r="K280" i="16"/>
  <c r="L280" i="16" s="1"/>
  <c r="K392" i="16"/>
  <c r="L392" i="16" s="1"/>
  <c r="K385" i="16"/>
  <c r="L385" i="16" s="1"/>
  <c r="K77" i="16"/>
  <c r="L77" i="16" s="1"/>
  <c r="K461" i="16"/>
  <c r="L461" i="16" s="1"/>
  <c r="K137" i="16"/>
  <c r="L137" i="16" s="1"/>
  <c r="K233" i="16"/>
  <c r="L233" i="16" s="1"/>
  <c r="K153" i="16"/>
  <c r="L153" i="16" s="1"/>
  <c r="K345" i="16"/>
  <c r="L345" i="16" s="1"/>
  <c r="K57" i="16"/>
  <c r="L57" i="16" s="1"/>
  <c r="K159" i="16"/>
  <c r="L159" i="16" s="1"/>
  <c r="K271" i="16"/>
  <c r="L271" i="16" s="1"/>
  <c r="K383" i="16"/>
  <c r="L383" i="16" s="1"/>
  <c r="K431" i="16"/>
  <c r="L431" i="16" s="1"/>
  <c r="K47" i="16"/>
  <c r="L47" i="16" s="1"/>
  <c r="K209" i="16"/>
  <c r="L209" i="16" s="1"/>
  <c r="K222" i="16"/>
  <c r="L222" i="16" s="1"/>
  <c r="K104" i="16"/>
  <c r="L104" i="16" s="1"/>
  <c r="K317" i="16"/>
  <c r="L317" i="16" s="1"/>
  <c r="K430" i="16"/>
  <c r="L430" i="16" s="1"/>
  <c r="K65" i="16"/>
  <c r="L65" i="16" s="1"/>
  <c r="K449" i="16"/>
  <c r="L449" i="16" s="1"/>
  <c r="K141" i="16"/>
  <c r="L141" i="16" s="1"/>
  <c r="K78" i="16"/>
  <c r="L78" i="16" s="1"/>
  <c r="K156" i="16"/>
  <c r="L156" i="16" s="1"/>
  <c r="K428" i="16"/>
  <c r="L428" i="16" s="1"/>
  <c r="K44" i="16"/>
  <c r="L44" i="16" s="1"/>
  <c r="D422" i="16"/>
  <c r="K422" i="16" s="1"/>
  <c r="L422" i="16" s="1"/>
  <c r="D278" i="16"/>
  <c r="K278" i="16" s="1"/>
  <c r="L278" i="16" s="1"/>
  <c r="K457" i="16"/>
  <c r="L457" i="16" s="1"/>
  <c r="K73" i="16"/>
  <c r="L73" i="16" s="1"/>
  <c r="K169" i="16"/>
  <c r="L169" i="16" s="1"/>
  <c r="K25" i="16"/>
  <c r="L25" i="16" s="1"/>
  <c r="K217" i="16"/>
  <c r="L217" i="16" s="1"/>
  <c r="K479" i="16"/>
  <c r="L479" i="16" s="1"/>
  <c r="K95" i="16"/>
  <c r="L95" i="16" s="1"/>
  <c r="K207" i="16"/>
  <c r="L207" i="16" s="1"/>
  <c r="K319" i="16"/>
  <c r="L319" i="16" s="1"/>
  <c r="K367" i="16"/>
  <c r="L367" i="16" s="1"/>
  <c r="K72" i="16"/>
  <c r="L72" i="16" s="1"/>
  <c r="K273" i="16"/>
  <c r="L273" i="16" s="1"/>
  <c r="K350" i="16"/>
  <c r="L350" i="16" s="1"/>
  <c r="K248" i="16"/>
  <c r="L248" i="16" s="1"/>
  <c r="K360" i="16"/>
  <c r="L360" i="16" s="1"/>
  <c r="K381" i="16"/>
  <c r="L381" i="16" s="1"/>
  <c r="K129" i="16"/>
  <c r="L129" i="16" s="1"/>
  <c r="K62" i="16"/>
  <c r="L62" i="16" s="1"/>
  <c r="K205" i="16"/>
  <c r="L205" i="16" s="1"/>
  <c r="K476" i="16"/>
  <c r="L476" i="16" s="1"/>
  <c r="K92" i="16"/>
  <c r="L92" i="16" s="1"/>
  <c r="K364" i="16"/>
  <c r="L364" i="16" s="1"/>
  <c r="K334" i="16"/>
  <c r="L334" i="16" s="1"/>
  <c r="K393" i="16"/>
  <c r="L393" i="16" s="1"/>
  <c r="K9" i="16"/>
  <c r="L9" i="16" s="1"/>
  <c r="K105" i="16"/>
  <c r="L105" i="16" s="1"/>
  <c r="K377" i="16"/>
  <c r="L377" i="16" s="1"/>
  <c r="K89" i="16"/>
  <c r="L89" i="16" s="1"/>
  <c r="K305" i="16"/>
  <c r="L305" i="16" s="1"/>
  <c r="K120" i="16"/>
  <c r="L120" i="16" s="1"/>
  <c r="K157" i="16"/>
  <c r="L157" i="16" s="1"/>
  <c r="K264" i="16"/>
  <c r="L264" i="16" s="1"/>
  <c r="K254" i="16"/>
  <c r="L254" i="16" s="1"/>
  <c r="K301" i="16"/>
  <c r="L301" i="16" s="1"/>
  <c r="K124" i="16"/>
  <c r="L124" i="16" s="1"/>
  <c r="K12" i="16"/>
  <c r="L12" i="16" s="1"/>
  <c r="K255" i="16"/>
  <c r="L255" i="16" s="1"/>
  <c r="K337" i="16"/>
  <c r="L337" i="16" s="1"/>
  <c r="K376" i="16"/>
  <c r="L376" i="16" s="1"/>
  <c r="K221" i="16"/>
  <c r="L221" i="16" s="1"/>
  <c r="K33" i="16"/>
  <c r="L33" i="16" s="1"/>
  <c r="K382" i="16"/>
  <c r="L382" i="16" s="1"/>
  <c r="K365" i="16"/>
  <c r="L365" i="16" s="1"/>
  <c r="K60" i="16"/>
  <c r="L60" i="16" s="1"/>
  <c r="K16" i="16"/>
  <c r="L16" i="16" s="1"/>
  <c r="K440" i="16"/>
  <c r="L440" i="16" s="1"/>
  <c r="K433" i="16"/>
  <c r="L433" i="16" s="1"/>
  <c r="K285" i="16"/>
  <c r="L285" i="16" s="1"/>
  <c r="K152" i="16"/>
  <c r="L152" i="16" s="1"/>
  <c r="K97" i="16"/>
  <c r="L97" i="16" s="1"/>
  <c r="K429" i="16"/>
  <c r="L429" i="16" s="1"/>
  <c r="K28" i="16"/>
  <c r="L28" i="16" s="1"/>
  <c r="K398" i="16"/>
  <c r="L398" i="16" s="1"/>
  <c r="K31" i="16"/>
  <c r="L31" i="16" s="1"/>
  <c r="K295" i="16"/>
  <c r="L295" i="16" s="1"/>
  <c r="K30" i="16"/>
  <c r="L30" i="16" s="1"/>
  <c r="K349" i="16"/>
  <c r="L349" i="16" s="1"/>
  <c r="K408" i="16"/>
  <c r="L408" i="16" s="1"/>
  <c r="K161" i="16"/>
  <c r="L161" i="16" s="1"/>
  <c r="K14" i="16"/>
  <c r="L14" i="16" s="1"/>
  <c r="K462" i="16"/>
  <c r="L462" i="16" s="1"/>
  <c r="K460" i="16"/>
  <c r="L460" i="16" s="1"/>
  <c r="K415" i="16"/>
  <c r="L415" i="16" s="1"/>
  <c r="K158" i="16"/>
  <c r="L158" i="16" s="1"/>
  <c r="K413" i="16"/>
  <c r="L413" i="16" s="1"/>
  <c r="K193" i="16"/>
  <c r="L193" i="16" s="1"/>
  <c r="K40" i="16"/>
  <c r="L40" i="16" s="1"/>
  <c r="K142" i="16"/>
  <c r="L142" i="16" s="1"/>
  <c r="K396" i="16"/>
  <c r="L396" i="16" s="1"/>
  <c r="K286" i="16"/>
  <c r="L286" i="16" s="1"/>
  <c r="K445" i="16"/>
  <c r="L445" i="16" s="1"/>
  <c r="K225" i="16"/>
  <c r="L225" i="16" s="1"/>
  <c r="K168" i="16"/>
  <c r="L168" i="16" s="1"/>
  <c r="K444" i="16"/>
  <c r="L444" i="16" s="1"/>
  <c r="K332" i="16"/>
  <c r="L332" i="16" s="1"/>
  <c r="K288" i="16"/>
  <c r="L288" i="16" s="1"/>
  <c r="K143" i="16"/>
  <c r="L143" i="16" s="1"/>
  <c r="K200" i="16"/>
  <c r="L200" i="16" s="1"/>
  <c r="K414" i="16"/>
  <c r="L414" i="16" s="1"/>
  <c r="K110" i="16"/>
  <c r="L110" i="16" s="1"/>
  <c r="K289" i="16"/>
  <c r="L289" i="16" s="1"/>
  <c r="K424" i="16"/>
  <c r="L424" i="16" s="1"/>
  <c r="K412" i="16"/>
  <c r="L412" i="16" s="1"/>
  <c r="K300" i="16"/>
  <c r="L300" i="16" s="1"/>
  <c r="K269" i="16"/>
  <c r="L269" i="16" s="1"/>
  <c r="K328" i="16"/>
  <c r="L328" i="16" s="1"/>
  <c r="K478" i="16"/>
  <c r="L478" i="16" s="1"/>
  <c r="K238" i="16"/>
  <c r="L238" i="16" s="1"/>
  <c r="K353" i="16"/>
  <c r="L353" i="16" s="1"/>
  <c r="K45" i="16"/>
  <c r="L45" i="16" s="1"/>
  <c r="K380" i="16"/>
  <c r="L380" i="16" s="1"/>
  <c r="K268" i="16"/>
  <c r="L268" i="16" s="1"/>
  <c r="K8" i="16"/>
  <c r="L8" i="16" s="1"/>
  <c r="K303" i="16"/>
  <c r="L303" i="16" s="1"/>
  <c r="K49" i="16"/>
  <c r="L49" i="16" s="1"/>
  <c r="K366" i="16"/>
  <c r="L366" i="16" s="1"/>
  <c r="K417" i="16"/>
  <c r="L417" i="16" s="1"/>
  <c r="K109" i="16"/>
  <c r="L109" i="16" s="1"/>
  <c r="K316" i="16"/>
  <c r="L316" i="16" s="1"/>
  <c r="K204" i="16"/>
  <c r="L204" i="16" s="1"/>
  <c r="K188" i="16"/>
  <c r="L188" i="16" s="1"/>
  <c r="K88" i="16"/>
  <c r="L88" i="16" s="1"/>
  <c r="K113" i="16"/>
  <c r="L113" i="16" s="1"/>
  <c r="K232" i="16"/>
  <c r="L232" i="16" s="1"/>
  <c r="K481" i="16"/>
  <c r="L481" i="16" s="1"/>
  <c r="K56" i="16"/>
  <c r="L56" i="16" s="1"/>
  <c r="K173" i="16"/>
  <c r="L173" i="16" s="1"/>
  <c r="K252" i="16"/>
  <c r="L252" i="16" s="1"/>
  <c r="K140" i="16"/>
  <c r="L140" i="16" s="1"/>
  <c r="K61" i="16"/>
  <c r="L61" i="16" s="1"/>
  <c r="K216" i="16"/>
  <c r="L216" i="16" s="1"/>
  <c r="K177" i="16"/>
  <c r="L177" i="16" s="1"/>
  <c r="K29" i="16"/>
  <c r="L29" i="16" s="1"/>
  <c r="K126" i="16"/>
  <c r="L126" i="16" s="1"/>
  <c r="K184" i="16"/>
  <c r="L184" i="16" s="1"/>
  <c r="K237" i="16"/>
  <c r="L237" i="16" s="1"/>
  <c r="K220" i="16"/>
  <c r="L220" i="16" s="1"/>
  <c r="K108" i="16"/>
  <c r="L108" i="16" s="1"/>
  <c r="K241" i="16"/>
  <c r="L241" i="16" s="1"/>
  <c r="K190" i="16"/>
  <c r="L190" i="16" s="1"/>
  <c r="K76" i="16"/>
  <c r="L76" i="16" s="1"/>
  <c r="K459" i="16"/>
  <c r="L459" i="16" s="1"/>
  <c r="K423" i="16"/>
  <c r="L423" i="16" s="1"/>
  <c r="K416" i="16"/>
  <c r="L416" i="16" s="1"/>
  <c r="K87" i="16"/>
  <c r="L87" i="16" s="1"/>
  <c r="K39" i="16"/>
  <c r="L39" i="16" s="1"/>
  <c r="K123" i="16"/>
  <c r="L123" i="16" s="1"/>
  <c r="K480" i="16"/>
  <c r="L480" i="16" s="1"/>
  <c r="K32" i="16"/>
  <c r="L32" i="16" s="1"/>
  <c r="K411" i="16"/>
  <c r="L411" i="16" s="1"/>
  <c r="K249" i="16"/>
  <c r="L249" i="16" s="1"/>
  <c r="K138" i="16"/>
  <c r="L138" i="16" s="1"/>
  <c r="K170" i="16"/>
  <c r="L170" i="16" s="1"/>
  <c r="C47" i="6" l="1"/>
  <c r="K44" i="6"/>
  <c r="K33" i="6"/>
  <c r="C28" i="6"/>
  <c r="K42" i="6"/>
  <c r="M36" i="6"/>
  <c r="C42" i="6"/>
  <c r="K35" i="6"/>
  <c r="C35" i="6"/>
  <c r="K46" i="6"/>
  <c r="H49" i="6"/>
  <c r="K37" i="6"/>
  <c r="M37" i="6" s="1"/>
  <c r="M47" i="6"/>
  <c r="C55" i="6"/>
  <c r="D55" i="6" s="1"/>
  <c r="K47" i="6"/>
  <c r="C48" i="6"/>
  <c r="J42" i="6"/>
  <c r="H44" i="6"/>
  <c r="C45" i="6"/>
  <c r="N45" i="6" s="1"/>
  <c r="M33" i="6"/>
  <c r="H47" i="6"/>
  <c r="J45" i="6"/>
  <c r="H35" i="6"/>
  <c r="M35" i="6" s="1"/>
  <c r="M32" i="6"/>
  <c r="K45" i="6"/>
  <c r="C46" i="6"/>
  <c r="K55" i="6"/>
  <c r="M45" i="6"/>
  <c r="N35" i="6"/>
  <c r="H45" i="6"/>
  <c r="J49" i="6"/>
  <c r="C38" i="6"/>
  <c r="N46" i="6"/>
  <c r="J48" i="6"/>
  <c r="J55" i="6"/>
  <c r="M42" i="6"/>
  <c r="H46" i="6"/>
  <c r="K36" i="6"/>
  <c r="C49" i="6"/>
  <c r="H38" i="6"/>
  <c r="C37" i="6"/>
  <c r="J37" i="6" s="1"/>
  <c r="J47" i="6"/>
  <c r="H37" i="6"/>
  <c r="C32" i="6"/>
  <c r="J41" i="6"/>
  <c r="J46" i="6"/>
  <c r="D37" i="6"/>
  <c r="M46" i="6"/>
  <c r="J32" i="6"/>
  <c r="N33" i="6"/>
  <c r="C33" i="6"/>
  <c r="N48" i="6"/>
  <c r="N47" i="6"/>
  <c r="N36" i="6"/>
  <c r="J38" i="6"/>
  <c r="K48" i="6"/>
  <c r="N49" i="6"/>
  <c r="K32" i="6"/>
  <c r="H36" i="6"/>
  <c r="H48" i="6"/>
  <c r="M48" i="6" s="1"/>
  <c r="K49" i="6"/>
  <c r="M49" i="6" s="1"/>
  <c r="C50" i="6"/>
  <c r="N42" i="6"/>
  <c r="H32" i="6"/>
  <c r="H42" i="6"/>
  <c r="C39" i="6"/>
  <c r="N39" i="6" s="1"/>
  <c r="C44" i="6"/>
  <c r="N44" i="6" s="1"/>
  <c r="C53" i="6"/>
  <c r="N53" i="6" s="1"/>
  <c r="H33" i="6"/>
  <c r="H41" i="6"/>
  <c r="H53" i="6"/>
  <c r="H55" i="6"/>
  <c r="M55" i="6" s="1"/>
  <c r="J35" i="6"/>
  <c r="C41" i="6"/>
  <c r="K41" i="6" s="1"/>
  <c r="M41" i="6" s="1"/>
  <c r="C27" i="6"/>
  <c r="C36" i="6"/>
  <c r="J50" i="6"/>
  <c r="S50" i="6" l="1"/>
  <c r="Q50" i="6" s="1"/>
  <c r="R50" i="6"/>
  <c r="H50" i="6"/>
  <c r="S38" i="6"/>
  <c r="Q38" i="6" s="1"/>
  <c r="P38" i="6" s="1"/>
  <c r="R38" i="6"/>
  <c r="J39" i="6"/>
  <c r="K39" i="6"/>
  <c r="D53" i="6"/>
  <c r="R49" i="6"/>
  <c r="S49" i="6"/>
  <c r="Q49" i="6" s="1"/>
  <c r="P49" i="6" s="1"/>
  <c r="AJ49" i="6" s="1"/>
  <c r="D49" i="6" s="1"/>
  <c r="K50" i="6"/>
  <c r="M50" i="6" s="1"/>
  <c r="N37" i="6"/>
  <c r="K53" i="6"/>
  <c r="M53" i="6" s="1"/>
  <c r="H39" i="6"/>
  <c r="N38" i="6"/>
  <c r="R33" i="6"/>
  <c r="S33" i="6"/>
  <c r="Q33" i="6" s="1"/>
  <c r="S32" i="6"/>
  <c r="Q32" i="6" s="1"/>
  <c r="R32" i="6"/>
  <c r="J53" i="6"/>
  <c r="D38" i="6"/>
  <c r="J44" i="6"/>
  <c r="T39" i="6"/>
  <c r="S39" i="6"/>
  <c r="Q39" i="6" s="1"/>
  <c r="P39" i="6" s="1"/>
  <c r="D39" i="6" s="1"/>
  <c r="R39" i="6"/>
  <c r="R48" i="6"/>
  <c r="S48" i="6"/>
  <c r="Q48" i="6" s="1"/>
  <c r="P48" i="6" s="1"/>
  <c r="D48" i="6" s="1"/>
  <c r="M44" i="6"/>
  <c r="S37" i="6"/>
  <c r="Q37" i="6" s="1"/>
  <c r="R37" i="6"/>
  <c r="R41" i="6"/>
  <c r="S41" i="6"/>
  <c r="Q41" i="6" s="1"/>
  <c r="N32" i="6"/>
  <c r="N50" i="6"/>
  <c r="S44" i="6"/>
  <c r="Q44" i="6" s="1"/>
  <c r="R44" i="6"/>
  <c r="AY15" i="2"/>
  <c r="AQ15" i="2" s="1"/>
  <c r="R36" i="6"/>
  <c r="S36" i="6"/>
  <c r="Q36" i="6" s="1"/>
  <c r="P36" i="6" s="1"/>
  <c r="D36" i="6" s="1"/>
  <c r="AZ15" i="2"/>
  <c r="AO15" i="2" s="1"/>
  <c r="J36" i="6"/>
  <c r="M39" i="6"/>
  <c r="R46" i="6"/>
  <c r="S46" i="6"/>
  <c r="Q46" i="6" s="1"/>
  <c r="S35" i="6"/>
  <c r="Q35" i="6" s="1"/>
  <c r="R35" i="6"/>
  <c r="R47" i="6"/>
  <c r="S47" i="6"/>
  <c r="Q47" i="6" s="1"/>
  <c r="P47" i="6" s="1"/>
  <c r="D47" i="6" s="1"/>
  <c r="N41" i="6"/>
  <c r="J33" i="6"/>
  <c r="S45" i="6"/>
  <c r="Q45" i="6" s="1"/>
  <c r="R45" i="6"/>
  <c r="R42" i="6"/>
  <c r="S42" i="6"/>
  <c r="Q42" i="6" s="1"/>
  <c r="K38" i="6"/>
  <c r="M38" i="6" s="1"/>
  <c r="K57" i="6" s="1"/>
  <c r="P44" i="6" l="1"/>
  <c r="D44" i="6" s="1"/>
  <c r="P42" i="6"/>
  <c r="D42" i="6" s="1"/>
  <c r="P46" i="6"/>
  <c r="D46" i="6" s="1"/>
  <c r="P41" i="6"/>
  <c r="D41" i="6" s="1"/>
  <c r="P37" i="6"/>
  <c r="P33" i="6"/>
  <c r="D33" i="6" s="1"/>
  <c r="P32" i="6"/>
  <c r="D32" i="6" s="1"/>
  <c r="P45" i="6"/>
  <c r="D45" i="6" s="1"/>
  <c r="P35" i="6"/>
  <c r="D35" i="6" s="1"/>
  <c r="P50" i="6"/>
  <c r="D5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<sst xmlns="http://schemas.openxmlformats.org/spreadsheetml/2006/main" count="6767" uniqueCount="2763">
  <si>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</si>
  <si>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</si>
  <si>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</si>
  <si>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</si>
  <si>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</si>
  <si>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</si>
  <si>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</si>
  <si>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</si>
  <si>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</si>
  <si>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</si>
  <si>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</si>
  <si>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</si>
  <si>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</si>
  <si>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</si>
  <si>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</si>
  <si>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</si>
  <si>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</si>
  <si>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</si>
  <si>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</si>
  <si>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</si>
  <si>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</si>
  <si>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</si>
  <si>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</si>
  <si>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</si>
  <si>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</si>
  <si>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</si>
  <si>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</si>
  <si>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</si>
  <si>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</si>
  <si>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</si>
  <si>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</si>
  <si>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</si>
  <si>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</si>
  <si>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</si>
  <si>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</si>
  <si>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</si>
  <si>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</si>
  <si>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</si>
  <si>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</si>
  <si>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</si>
  <si>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</si>
  <si>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</si>
  <si>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</si>
  <si>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</si>
  <si>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</si>
  <si>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</si>
  <si>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</si>
  <si>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</si>
  <si>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</si>
  <si>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</si>
  <si>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</si>
  <si>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</si>
  <si>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</si>
  <si>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</si>
  <si>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</si>
  <si>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</si>
  <si>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</si>
  <si>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</si>
  <si>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</si>
  <si>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</si>
  <si>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</si>
  <si>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</si>
  <si>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</si>
  <si>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</si>
  <si>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</si>
  <si>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</si>
  <si>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</si>
  <si>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</si>
  <si>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</si>
  <si>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</si>
  <si>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</si>
  <si>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</si>
  <si>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</si>
  <si>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</si>
  <si>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</si>
  <si>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</si>
  <si>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</si>
  <si>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</si>
  <si>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</si>
  <si>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</si>
  <si>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</si>
  <si>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</si>
  <si>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</si>
  <si>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</si>
  <si>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</si>
  <si>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</si>
  <si>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</si>
  <si>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</si>
  <si>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</si>
  <si>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</si>
  <si>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</si>
  <si>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</si>
  <si>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</si>
  <si>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</si>
  <si>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</si>
  <si>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</si>
  <si>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</si>
  <si>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</si>
  <si>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</si>
  <si>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</si>
  <si>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</si>
  <si>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</si>
  <si>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</si>
  <si>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</si>
  <si>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</si>
  <si>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</si>
  <si>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</si>
  <si>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</si>
  <si>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</si>
  <si>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</si>
  <si>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</si>
  <si>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</si>
  <si>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</si>
  <si>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</si>
  <si>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</si>
  <si>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</si>
  <si>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</si>
  <si>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</si>
  <si>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</si>
  <si>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</si>
  <si>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</si>
  <si>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</si>
  <si>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</si>
  <si>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</si>
  <si>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</si>
  <si>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</si>
  <si>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</si>
  <si>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</si>
  <si>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</si>
  <si>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</si>
  <si>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</si>
  <si>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</si>
  <si>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</si>
  <si>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</si>
  <si>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</si>
  <si>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</si>
  <si>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</si>
  <si>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</si>
  <si>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</si>
  <si>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</si>
  <si>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</si>
  <si>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</si>
  <si>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</si>
  <si>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</si>
  <si>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</si>
  <si>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</si>
  <si>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</si>
  <si>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</si>
  <si>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</si>
  <si>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</si>
  <si>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</si>
  <si>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</si>
  <si>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</si>
  <si>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</si>
  <si>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</si>
  <si>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</si>
  <si>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</si>
  <si>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</si>
  <si>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</si>
  <si>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</si>
  <si>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</si>
  <si>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</si>
  <si>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</si>
  <si>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</si>
  <si>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</si>
  <si>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</si>
  <si>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</si>
  <si>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</si>
  <si>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</si>
  <si>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</si>
  <si>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</si>
  <si>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</si>
  <si>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</si>
  <si>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</si>
  <si>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</si>
  <si>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</si>
  <si>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</si>
  <si>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</si>
  <si>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</si>
  <si>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</si>
  <si>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</si>
  <si>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</si>
  <si>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</si>
  <si>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</si>
  <si>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</si>
  <si>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</si>
  <si>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</si>
  <si>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</si>
  <si>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</si>
  <si>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</si>
  <si>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</si>
  <si>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</si>
  <si>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</si>
  <si>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</si>
  <si>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</si>
  <si>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</si>
  <si>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</si>
  <si>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</si>
  <si>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</si>
  <si>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</si>
  <si>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</si>
  <si>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</si>
  <si>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</si>
  <si>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</si>
  <si>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</si>
  <si>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</si>
  <si>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</si>
  <si>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</si>
  <si>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</si>
  <si>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</si>
  <si>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</si>
  <si>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</si>
  <si>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</si>
  <si>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</si>
  <si>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</si>
  <si>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</si>
  <si>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</si>
  <si>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</si>
  <si>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</si>
  <si>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</si>
  <si>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</si>
  <si>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</si>
  <si>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</si>
  <si>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</si>
  <si>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</si>
  <si>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</si>
  <si>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</si>
  <si>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</si>
  <si>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</si>
  <si>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</si>
  <si>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</si>
  <si>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</si>
  <si>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</si>
  <si>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</si>
  <si>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</si>
  <si>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</si>
  <si>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</si>
  <si>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</si>
  <si>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</si>
  <si>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</si>
  <si>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</si>
  <si>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</si>
  <si>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</si>
  <si>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</si>
  <si>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</si>
  <si>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</si>
  <si>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</si>
  <si>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</si>
  <si>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</si>
  <si>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</si>
  <si>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</si>
  <si>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</si>
  <si>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</si>
  <si>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</si>
  <si>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</si>
  <si>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</si>
  <si>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</si>
  <si>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</si>
  <si>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</si>
  <si>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</si>
  <si>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</si>
  <si>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</si>
  <si>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</si>
  <si>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</si>
  <si>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</si>
  <si>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</si>
  <si>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</si>
  <si>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</si>
  <si>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</si>
  <si>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</si>
  <si>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</si>
  <si>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</si>
  <si>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</si>
  <si>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</si>
  <si>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</si>
  <si>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</si>
  <si>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</si>
  <si>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</si>
  <si>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</si>
  <si>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</si>
  <si>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</si>
  <si>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</si>
  <si>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</si>
  <si>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</si>
  <si>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</si>
  <si>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</si>
  <si>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</si>
  <si>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</si>
  <si>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</si>
  <si>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</si>
  <si>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</si>
  <si>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</si>
  <si>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</si>
  <si>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</si>
  <si>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</si>
  <si>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</si>
  <si>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</si>
  <si>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</si>
  <si>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</si>
  <si>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</si>
  <si>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</si>
  <si>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</si>
  <si>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</si>
  <si>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</si>
  <si>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</si>
  <si>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</si>
  <si>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</si>
  <si>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</si>
  <si>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</si>
  <si>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</si>
  <si>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</si>
  <si>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</si>
  <si>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</si>
  <si>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</si>
  <si>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</si>
  <si>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</si>
  <si>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</si>
  <si>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</si>
  <si>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</si>
  <si>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</si>
  <si>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</si>
  <si>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</si>
  <si>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</si>
  <si>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</si>
  <si>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</si>
  <si>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</si>
  <si>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</si>
  <si>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</si>
  <si>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</si>
  <si>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</si>
  <si>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</si>
  <si>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</si>
  <si>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</si>
  <si>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</si>
  <si>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</si>
  <si>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</si>
  <si>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</si>
  <si>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</si>
  <si>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</si>
  <si>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</si>
  <si>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</si>
  <si>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</si>
  <si>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</si>
  <si>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</si>
  <si>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</si>
  <si>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</si>
  <si>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</si>
  <si>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</si>
  <si>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</si>
  <si>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</si>
  <si>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</si>
  <si>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</si>
  <si>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</si>
  <si>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</si>
  <si>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</si>
  <si>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</si>
  <si>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</si>
  <si>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</si>
  <si>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</si>
  <si>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</si>
  <si>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</si>
  <si>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</si>
  <si>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</si>
  <si>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</si>
  <si>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</si>
  <si>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</si>
  <si>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</si>
  <si>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</si>
  <si>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</si>
  <si>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</si>
  <si>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</si>
  <si>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</si>
  <si>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</si>
  <si>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</si>
  <si>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</si>
  <si>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</si>
  <si>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</si>
  <si>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</si>
  <si>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</si>
  <si>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</si>
  <si>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</si>
  <si>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</si>
  <si>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</si>
  <si>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</si>
  <si>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</si>
  <si>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</si>
  <si>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</si>
  <si>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</si>
  <si>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</si>
  <si>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</si>
  <si>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</si>
  <si>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</si>
  <si>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</si>
  <si>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</si>
  <si>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</si>
  <si>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</si>
  <si>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</si>
  <si>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</si>
  <si>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</si>
  <si>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</si>
  <si>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</si>
  <si>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</si>
  <si>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</si>
  <si>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</si>
  <si>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</si>
  <si>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</si>
  <si>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</si>
  <si>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</si>
  <si>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</si>
  <si>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</si>
  <si>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</si>
  <si>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</si>
  <si>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</si>
  <si>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</si>
  <si>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</si>
  <si>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</si>
  <si>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</si>
  <si>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</si>
  <si>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</si>
  <si>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</si>
  <si>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</si>
  <si>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</si>
  <si>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</si>
  <si>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</si>
  <si>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</si>
  <si>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</si>
  <si>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</si>
  <si>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</si>
  <si>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</si>
  <si>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</si>
  <si>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</si>
  <si>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</si>
  <si>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</si>
  <si>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</si>
  <si>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</si>
  <si>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</si>
  <si>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</si>
  <si>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</si>
  <si>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</si>
  <si>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</si>
  <si>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</si>
  <si>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</si>
  <si>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</si>
  <si>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</si>
  <si>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</si>
  <si>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</si>
  <si>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</si>
  <si>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</si>
  <si>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</si>
  <si>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</si>
  <si>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</si>
  <si>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</si>
  <si>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</si>
  <si>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</si>
  <si>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</si>
  <si>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</si>
  <si>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</si>
  <si>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</si>
  <si>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</si>
  <si>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</si>
  <si>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</si>
  <si>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</si>
  <si>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</si>
  <si>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</si>
  <si>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</si>
  <si>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</si>
  <si>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</si>
  <si>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</si>
  <si>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</si>
  <si>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</si>
  <si>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</si>
  <si>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</si>
  <si>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</si>
  <si>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</si>
  <si>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</si>
  <si>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</si>
  <si>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</si>
  <si>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</si>
  <si>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</si>
  <si>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</si>
  <si>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</si>
  <si>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</si>
  <si>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</si>
  <si>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</si>
  <si>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</si>
  <si>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</si>
  <si>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</si>
  <si>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</si>
  <si>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</si>
  <si>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</si>
  <si>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</si>
  <si>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</si>
  <si>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</si>
  <si>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</si>
  <si>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</si>
  <si>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</si>
  <si>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</si>
  <si>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</si>
  <si>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</si>
  <si>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</si>
  <si>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</si>
  <si>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</si>
  <si>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</si>
  <si>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</si>
  <si>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</si>
  <si>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</si>
  <si>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</si>
  <si>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</si>
  <si>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</si>
  <si>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</si>
  <si>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</si>
  <si>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</si>
  <si>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</si>
  <si>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</si>
  <si>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</si>
  <si>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</si>
  <si>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</si>
  <si>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</si>
  <si>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</si>
  <si>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</si>
  <si>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</si>
  <si>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</si>
  <si>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</si>
  <si>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</si>
  <si>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</si>
  <si>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</si>
  <si>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</si>
  <si>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</si>
  <si>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</si>
  <si>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</si>
  <si>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</si>
  <si>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</si>
  <si>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</si>
  <si>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</si>
  <si>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</si>
  <si>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</si>
  <si>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</si>
  <si>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</si>
  <si>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</si>
  <si>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</si>
  <si>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</si>
  <si>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</si>
  <si>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</si>
  <si>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</si>
  <si>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</si>
  <si>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</si>
  <si>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</si>
  <si>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</si>
  <si>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</si>
  <si>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</si>
  <si>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</si>
  <si>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</si>
  <si>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</si>
  <si>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</si>
  <si>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</si>
  <si>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</si>
  <si>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</si>
  <si>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</si>
  <si>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</si>
  <si>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</si>
  <si>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</si>
  <si>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</si>
  <si>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</si>
  <si>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</si>
  <si>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</si>
  <si>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</si>
  <si>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</si>
  <si>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</si>
  <si>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</si>
  <si>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</si>
  <si>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</si>
  <si>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</si>
  <si>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</si>
  <si>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</si>
  <si>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</si>
  <si>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</si>
  <si>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</si>
  <si>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</si>
  <si>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</si>
  <si>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</si>
  <si>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</si>
  <si>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</si>
  <si>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</si>
  <si>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</si>
  <si>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</si>
  <si>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</si>
  <si>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</si>
  <si>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</si>
  <si>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</si>
  <si>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</si>
  <si>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</si>
  <si>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</si>
  <si>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</si>
  <si>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</si>
  <si>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</si>
  <si>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</si>
  <si>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</si>
  <si>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</si>
  <si>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</si>
  <si>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</si>
  <si>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</si>
  <si>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</si>
  <si>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</si>
  <si>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</si>
  <si>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</si>
  <si>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</si>
  <si>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</si>
  <si>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</si>
  <si>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</si>
  <si>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</si>
  <si>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</si>
  <si>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</si>
  <si>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</si>
  <si>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</si>
  <si>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</si>
  <si>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</si>
  <si>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</si>
  <si>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</si>
  <si>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</si>
  <si>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</si>
  <si>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</si>
  <si>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</si>
  <si>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</si>
  <si>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</si>
  <si>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</si>
  <si>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</si>
  <si>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</si>
  <si>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</si>
  <si>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</si>
  <si>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</si>
  <si>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</si>
  <si>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</si>
  <si>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</si>
  <si>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</si>
  <si>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</si>
  <si>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</si>
  <si>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</si>
  <si>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</si>
  <si>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</si>
  <si>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</si>
  <si>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</si>
  <si>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</si>
  <si>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</si>
  <si>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</si>
  <si>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</si>
  <si>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</si>
  <si>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</si>
  <si>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</si>
  <si>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</si>
  <si>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</si>
  <si>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</si>
  <si>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</si>
  <si>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</si>
  <si>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</si>
  <si>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</si>
  <si>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</si>
  <si>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</si>
  <si>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</si>
  <si>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</si>
  <si>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</si>
  <si>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</si>
  <si>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</si>
  <si>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</si>
  <si>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</si>
  <si>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</si>
  <si>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</si>
  <si>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</si>
  <si>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</si>
  <si>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</si>
  <si>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</si>
  <si>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</si>
  <si>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</si>
  <si>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</si>
  <si>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</si>
  <si>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</si>
  <si>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</si>
  <si>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</si>
  <si>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</si>
  <si>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</si>
  <si>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</si>
  <si>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</si>
  <si>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</si>
  <si>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</si>
  <si>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</si>
  <si>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</si>
  <si>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</si>
  <si>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</si>
  <si>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</si>
  <si>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</si>
  <si>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</si>
  <si>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</si>
  <si>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</si>
  <si>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</si>
  <si>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</si>
  <si>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</si>
  <si>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</si>
  <si>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</si>
  <si>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</si>
  <si>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</si>
  <si>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</si>
  <si>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</si>
  <si>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</si>
  <si>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</si>
  <si>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</si>
  <si>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</si>
  <si>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</si>
  <si>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</si>
  <si>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</si>
  <si>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</si>
  <si>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</si>
  <si>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</si>
  <si>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</si>
  <si>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</si>
  <si>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</si>
  <si>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</si>
  <si>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</si>
  <si>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</si>
  <si>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</si>
  <si>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</si>
  <si>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</si>
  <si>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</si>
  <si>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</si>
  <si>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</si>
  <si>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</si>
  <si>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</si>
  <si>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</si>
  <si>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</si>
  <si>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</si>
  <si>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</si>
  <si>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</si>
  <si>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</si>
  <si>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</si>
  <si>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</si>
  <si>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</si>
  <si>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</si>
  <si>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</si>
  <si>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</si>
  <si>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</si>
  <si>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</si>
  <si>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</si>
  <si>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</si>
  <si>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</si>
  <si>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</si>
  <si>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</si>
  <si>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</si>
  <si>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</si>
  <si>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</si>
  <si>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</si>
  <si>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</si>
  <si>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</si>
  <si>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</si>
  <si>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</si>
  <si>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</si>
  <si>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</si>
  <si>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</si>
  <si>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</si>
  <si>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</si>
  <si>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</si>
  <si>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</si>
  <si>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</si>
  <si>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</si>
  <si>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</si>
  <si>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</si>
  <si>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</si>
  <si>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</si>
  <si>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</si>
  <si>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</si>
  <si>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</si>
  <si>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</si>
  <si>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</si>
  <si>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</si>
  <si>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</si>
  <si>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</si>
  <si>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</si>
  <si>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</si>
  <si>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</si>
  <si>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</si>
  <si>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</si>
  <si>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</si>
  <si>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</si>
  <si>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</si>
  <si>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</si>
  <si>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</si>
  <si>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</si>
  <si>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</si>
  <si>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</si>
  <si>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</si>
  <si>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</si>
  <si>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</si>
  <si>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</si>
  <si>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</si>
  <si>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</si>
  <si>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</si>
  <si>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</si>
  <si>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</si>
  <si>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</si>
  <si>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</si>
  <si>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</si>
  <si>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</si>
  <si>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</si>
  <si>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</si>
  <si>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</si>
  <si>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</si>
  <si>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</si>
  <si>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</si>
  <si>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</si>
  <si>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</si>
  <si>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</si>
  <si>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</si>
  <si>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</si>
  <si>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</si>
  <si>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</si>
  <si>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</si>
  <si>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</si>
  <si>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</si>
  <si>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</si>
  <si>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</si>
  <si>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</si>
  <si>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</si>
  <si>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</si>
  <si>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</si>
  <si>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</si>
  <si>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</si>
  <si>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</si>
  <si>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</si>
  <si>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</si>
  <si>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</si>
  <si>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</si>
  <si>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</si>
  <si>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</si>
  <si>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</si>
  <si>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</si>
  <si>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</si>
  <si>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</si>
  <si>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</si>
  <si>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</si>
  <si>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</si>
  <si>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</si>
  <si>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</si>
  <si>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</si>
  <si>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</si>
  <si>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</si>
  <si>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</si>
  <si>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</si>
  <si>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</si>
  <si>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</si>
  <si>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</si>
  <si>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</si>
  <si>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</si>
  <si>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</si>
  <si>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</si>
  <si>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</si>
  <si>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</si>
  <si>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</si>
  <si>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</si>
  <si>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</si>
  <si>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</si>
  <si>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</si>
  <si>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</si>
  <si>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</si>
  <si>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</si>
  <si>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</si>
  <si>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</si>
  <si>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</si>
  <si>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</si>
  <si>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</si>
  <si>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</si>
  <si>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</si>
  <si>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</si>
  <si>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</si>
  <si>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</si>
  <si>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</si>
  <si>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</si>
  <si>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</si>
  <si>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</si>
  <si>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</si>
  <si>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</si>
  <si>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</si>
  <si>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</si>
  <si>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</si>
  <si>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</si>
  <si>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</si>
  <si>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</si>
  <si>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</si>
  <si>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</si>
  <si>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</si>
  <si>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</si>
  <si>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</si>
  <si>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</si>
  <si>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</si>
  <si>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</si>
  <si>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</si>
  <si>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</si>
  <si>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</si>
  <si>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</si>
  <si>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</si>
  <si>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</si>
  <si>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</si>
  <si>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</si>
  <si>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</si>
  <si>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</si>
  <si>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</si>
  <si>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</si>
  <si>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</si>
  <si>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</si>
  <si>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</si>
  <si>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</si>
  <si>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</si>
  <si>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</si>
  <si>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</si>
  <si>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</si>
  <si>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</si>
  <si>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</si>
  <si>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</si>
  <si>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</si>
  <si>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</si>
  <si>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</si>
  <si>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</si>
  <si>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</si>
  <si>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</si>
  <si>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</si>
  <si>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</si>
  <si>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</si>
  <si>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</si>
  <si>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</si>
  <si>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</si>
  <si>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</si>
  <si>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</si>
  <si>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</si>
  <si>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</si>
  <si>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</si>
  <si>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</si>
  <si>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</si>
  <si>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</si>
  <si>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</si>
  <si>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</si>
  <si>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</si>
  <si>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</si>
  <si>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</si>
  <si>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</si>
  <si>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</si>
  <si>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</si>
  <si>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</si>
  <si>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</si>
  <si>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</si>
  <si>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</si>
  <si>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</si>
  <si>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</si>
  <si>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</si>
  <si>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</si>
  <si>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</si>
  <si>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</si>
  <si>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</si>
  <si>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</si>
  <si>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</si>
  <si>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</si>
  <si>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</si>
  <si>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</si>
  <si>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</si>
  <si>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</si>
  <si>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</si>
  <si>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</si>
  <si>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</si>
  <si>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</si>
  <si>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</si>
  <si>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</si>
  <si>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</si>
  <si>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</si>
  <si>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</si>
  <si>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</si>
  <si>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</si>
  <si>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</si>
  <si>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</si>
  <si>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</si>
  <si>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</si>
  <si>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</si>
  <si>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</si>
  <si>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</si>
  <si>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</si>
  <si>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</si>
  <si>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</si>
  <si>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</si>
  <si>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</si>
  <si>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</si>
  <si>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</si>
  <si>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</si>
  <si>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</si>
  <si>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</si>
  <si>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</si>
  <si>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</si>
  <si>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</si>
  <si>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</si>
  <si>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</si>
  <si>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</si>
  <si>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</si>
  <si>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</si>
  <si>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</si>
  <si>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</si>
  <si>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</si>
  <si>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</si>
  <si>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</si>
  <si>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</si>
  <si>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</si>
  <si>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</si>
  <si>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</si>
  <si>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</si>
  <si>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</si>
  <si>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</si>
  <si>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</si>
  <si>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</si>
  <si>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</si>
  <si>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</si>
  <si>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</si>
  <si>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</si>
  <si>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</si>
  <si>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</si>
  <si>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</si>
  <si>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</si>
  <si>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</si>
  <si>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</si>
  <si>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</si>
  <si>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</si>
  <si>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</si>
  <si>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</si>
  <si>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</si>
  <si>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</si>
  <si>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</si>
  <si>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</si>
  <si>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</si>
  <si>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</si>
  <si>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</si>
  <si>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</si>
  <si>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</si>
  <si>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</si>
  <si>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</si>
  <si>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</si>
  <si>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</si>
  <si>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</si>
  <si>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</si>
  <si>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</si>
  <si>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</si>
  <si>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</si>
  <si>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</si>
  <si>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</si>
  <si>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</si>
  <si>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</si>
  <si>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</si>
  <si>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</si>
  <si>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</si>
  <si>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</si>
  <si>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</si>
  <si>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</si>
  <si>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</si>
  <si>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</si>
  <si>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</si>
  <si>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</si>
  <si>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</si>
  <si>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</si>
  <si>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</si>
  <si>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</si>
  <si>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</si>
  <si>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</si>
  <si>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</si>
  <si>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</si>
  <si>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</si>
  <si>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</si>
  <si>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</si>
  <si>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</si>
  <si>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</si>
  <si>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</si>
  <si>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</si>
  <si>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</si>
  <si>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</si>
  <si>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</si>
  <si>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</si>
  <si>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</si>
  <si>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</si>
  <si>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</si>
  <si>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</si>
  <si>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</si>
  <si>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</si>
  <si>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</si>
  <si>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</si>
  <si>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</si>
  <si>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</si>
  <si>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</si>
  <si>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</si>
  <si>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</si>
  <si>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</si>
  <si>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</si>
  <si>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</si>
  <si>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</si>
  <si>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</si>
  <si>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</si>
  <si>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</si>
  <si>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</si>
  <si>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</si>
  <si>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</si>
  <si>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</si>
  <si>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</si>
  <si>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</si>
  <si>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</si>
  <si>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</si>
  <si>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</si>
  <si>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</si>
  <si>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</si>
  <si>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</si>
  <si>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</si>
  <si>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</si>
  <si>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</si>
  <si>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</si>
  <si>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</si>
  <si>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</si>
  <si>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</si>
  <si>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</si>
  <si>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</si>
  <si>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</si>
  <si>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</si>
  <si>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</si>
  <si>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</si>
  <si>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</si>
  <si>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</si>
  <si>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</si>
  <si>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</si>
  <si>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</si>
  <si>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</si>
  <si>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</si>
  <si>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</si>
  <si>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</si>
  <si>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</si>
  <si>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</si>
  <si>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</si>
  <si>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</si>
  <si>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</si>
  <si>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</si>
  <si>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</si>
  <si>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</si>
  <si>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</si>
  <si>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</si>
  <si>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</si>
  <si>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</si>
  <si>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</si>
  <si>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</si>
  <si>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</si>
  <si>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</si>
  <si>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</si>
  <si>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</si>
  <si>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</si>
  <si>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</si>
  <si>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</si>
  <si>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</si>
  <si>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</si>
  <si>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</si>
  <si>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</si>
  <si>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</si>
  <si>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</si>
  <si>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</si>
  <si>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</si>
  <si>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</si>
  <si>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</si>
  <si>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</si>
  <si>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</si>
  <si>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</si>
  <si>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</si>
  <si>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</si>
  <si>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</si>
  <si>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</si>
  <si>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</si>
  <si>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</si>
  <si>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</si>
  <si>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</si>
  <si>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</si>
  <si>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</si>
  <si>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</si>
  <si>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</si>
  <si>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</si>
  <si>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</si>
  <si>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</si>
  <si>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</si>
  <si>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</si>
  <si>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</si>
  <si>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</si>
  <si>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</si>
  <si>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</si>
  <si>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</si>
  <si>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</si>
  <si>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</si>
  <si>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</si>
  <si>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</si>
  <si>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</si>
  <si>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</si>
  <si>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</si>
  <si>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</si>
  <si>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</si>
  <si>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</si>
  <si>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</si>
  <si>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</si>
  <si>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</si>
  <si>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</si>
  <si>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</si>
  <si>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</si>
  <si>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</si>
  <si>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</si>
  <si>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</si>
  <si>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</si>
  <si>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</si>
  <si>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</si>
  <si>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</si>
  <si>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</si>
  <si>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</si>
  <si>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</si>
  <si>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</si>
  <si>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</si>
  <si>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</si>
  <si>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</si>
  <si>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</si>
  <si>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</si>
  <si>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</si>
  <si>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</si>
  <si>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</si>
  <si>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</si>
  <si>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</si>
  <si>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</si>
  <si>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</si>
  <si>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</si>
  <si>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</si>
  <si>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</si>
  <si>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</si>
  <si>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</si>
  <si>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</si>
  <si>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</si>
  <si>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</si>
  <si>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</si>
  <si>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</si>
  <si>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</si>
  <si>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</si>
  <si>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</si>
  <si>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</si>
  <si>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</si>
  <si>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</si>
  <si>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</si>
  <si>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</si>
  <si>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</si>
  <si>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</si>
  <si>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</si>
  <si>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</si>
  <si>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</si>
  <si>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</si>
  <si>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</si>
  <si>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</si>
  <si>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</si>
  <si>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</si>
  <si>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</si>
  <si>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</si>
  <si>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</si>
  <si>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</si>
  <si>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</si>
  <si>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</si>
  <si>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</si>
  <si>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</si>
  <si>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</si>
  <si>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</si>
  <si>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</si>
  <si>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</si>
  <si>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</si>
  <si>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</si>
  <si>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</si>
  <si>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</si>
  <si>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</si>
  <si>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</si>
  <si>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</si>
  <si>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</si>
  <si>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</si>
  <si>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</si>
  <si>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</si>
  <si>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</si>
  <si>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</si>
  <si>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</si>
  <si>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</si>
  <si>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</si>
  <si>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</si>
  <si>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</si>
  <si>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</si>
  <si>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</si>
  <si>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</si>
  <si>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</si>
  <si>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</si>
  <si>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</si>
  <si>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</si>
  <si>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</si>
  <si>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</si>
  <si>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</si>
  <si>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</si>
  <si>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</si>
  <si>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</si>
  <si>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</si>
  <si>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</si>
  <si>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</si>
  <si>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</si>
  <si>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</si>
  <si>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</si>
  <si>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</si>
  <si>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</si>
  <si>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</si>
  <si>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</si>
  <si>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</si>
  <si>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</si>
  <si>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</si>
  <si>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</si>
  <si>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</si>
  <si>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</si>
  <si>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</si>
  <si>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</si>
  <si>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</si>
  <si>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</si>
  <si>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</si>
  <si>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</si>
  <si>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</si>
  <si>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</si>
  <si>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</si>
  <si>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</si>
  <si>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</si>
  <si>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</si>
  <si>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</si>
  <si>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</si>
  <si>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</si>
  <si>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</si>
  <si>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</si>
  <si>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</si>
  <si>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</si>
  <si>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</si>
  <si>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</si>
  <si>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</si>
  <si>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</si>
  <si>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</si>
  <si>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</si>
  <si>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</si>
  <si>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</si>
  <si>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</si>
  <si>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</si>
  <si>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</si>
  <si>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</si>
  <si>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</si>
  <si>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</si>
  <si>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</si>
  <si>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</si>
  <si>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</si>
  <si>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</si>
  <si>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</si>
  <si>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</si>
  <si>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</si>
  <si>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</si>
  <si>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</si>
  <si>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</si>
  <si>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</si>
  <si>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</si>
  <si>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</si>
  <si>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</si>
  <si>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</si>
  <si>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</si>
  <si>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</si>
  <si>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</si>
  <si>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</si>
  <si>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</si>
  <si>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</si>
  <si>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</si>
  <si>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</si>
  <si>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</si>
  <si>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</si>
  <si>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</si>
  <si>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</si>
  <si>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</si>
  <si>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</si>
  <si>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</si>
  <si>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</si>
  <si>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</si>
  <si>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</si>
  <si>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</si>
  <si>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</si>
  <si>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</si>
  <si>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</si>
  <si>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</si>
  <si>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</si>
  <si>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</si>
  <si>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</si>
  <si>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</si>
  <si>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</si>
  <si>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</si>
  <si>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</si>
  <si>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</si>
  <si>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</si>
  <si>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</si>
  <si>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</si>
  <si>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</si>
  <si>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</si>
  <si>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</si>
  <si>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</si>
  <si>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</si>
  <si>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</si>
  <si>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</si>
  <si>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</si>
  <si>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</si>
  <si>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</si>
  <si>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</si>
  <si>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</si>
  <si>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</si>
  <si>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</si>
  <si>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</si>
  <si>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</si>
  <si>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</si>
  <si>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</si>
  <si>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</si>
  <si>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</si>
  <si>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</si>
  <si>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</si>
  <si>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</si>
  <si>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</si>
  <si>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</si>
  <si>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</si>
  <si>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</si>
  <si>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</si>
  <si>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</si>
  <si>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</si>
  <si>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</si>
  <si>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</si>
  <si>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</si>
  <si>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</si>
  <si>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</si>
  <si>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</si>
  <si>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</si>
  <si>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</si>
  <si>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</si>
  <si>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</si>
  <si>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</si>
  <si>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</si>
  <si>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</si>
  <si>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</si>
  <si>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</si>
  <si>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</si>
  <si>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</si>
  <si>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</si>
  <si>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</si>
  <si>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</si>
  <si>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</si>
  <si>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</si>
  <si>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</si>
  <si>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</si>
  <si>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</si>
  <si>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</si>
  <si>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</si>
  <si>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</si>
  <si>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</si>
  <si>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</si>
  <si>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</si>
  <si>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</si>
  <si>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</si>
  <si>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</si>
  <si>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</si>
  <si>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</si>
  <si>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</si>
  <si>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</si>
  <si>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</si>
  <si>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</si>
  <si>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</si>
  <si>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</si>
  <si>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</si>
  <si>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</si>
  <si>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</si>
  <si>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</si>
  <si>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</si>
  <si>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</si>
  <si>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</si>
  <si>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</si>
  <si>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</si>
  <si>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</si>
  <si>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</si>
  <si>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</si>
  <si>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</si>
  <si>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</si>
  <si>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</si>
  <si>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</si>
  <si>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</si>
  <si>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</si>
  <si>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</si>
  <si>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</si>
  <si>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</si>
  <si>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</si>
  <si>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</si>
  <si>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</si>
  <si>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</si>
  <si>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</si>
  <si>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</si>
  <si>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</si>
  <si>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</si>
  <si>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</si>
  <si>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</si>
  <si>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</si>
  <si>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</si>
  <si>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</si>
  <si>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</si>
  <si>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</si>
  <si>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</si>
  <si>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</si>
  <si>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</si>
  <si>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</si>
  <si>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</si>
  <si>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</si>
  <si>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</si>
  <si>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</si>
  <si>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</si>
  <si>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</si>
  <si>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</si>
  <si>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</si>
  <si>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</si>
  <si>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</si>
  <si>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</si>
  <si>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</si>
  <si>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</si>
  <si>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</si>
  <si>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</si>
  <si>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</si>
  <si>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</si>
  <si>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</si>
  <si>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</si>
  <si>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</si>
  <si>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</si>
  <si>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</si>
  <si>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</si>
  <si>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</si>
  <si>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</si>
  <si>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</si>
  <si>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</si>
  <si>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</si>
  <si>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</si>
  <si>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</si>
  <si>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</si>
  <si>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</si>
  <si>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</si>
  <si>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</si>
  <si>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</si>
  <si>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</si>
  <si>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</si>
  <si>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</si>
  <si>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</si>
  <si>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</si>
  <si>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</si>
  <si>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</si>
  <si>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</si>
  <si>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</si>
  <si>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</si>
  <si>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</si>
  <si>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</si>
  <si>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</si>
  <si>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</si>
  <si>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</si>
  <si>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</si>
  <si>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</si>
  <si>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</si>
  <si>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</si>
  <si>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</si>
  <si>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</si>
  <si>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</si>
  <si>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</si>
  <si>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</si>
  <si>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</si>
  <si>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</si>
  <si>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</si>
  <si>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</si>
  <si>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</si>
  <si>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</si>
  <si>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</si>
  <si>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</si>
  <si>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</si>
  <si>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</si>
  <si>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</si>
  <si>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</si>
  <si>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</si>
  <si>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</si>
  <si>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</si>
  <si>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</si>
  <si>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</si>
  <si>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</si>
  <si>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</si>
  <si>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</si>
  <si>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</si>
  <si>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</si>
  <si>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</si>
  <si>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</si>
  <si>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</si>
  <si>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</si>
  <si>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</si>
  <si>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</si>
  <si>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</si>
  <si>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</si>
  <si>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</si>
  <si>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</si>
  <si>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</si>
  <si>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</si>
  <si>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</si>
  <si>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</si>
  <si>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</si>
  <si>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</si>
  <si>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</si>
  <si>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</si>
  <si>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</si>
  <si>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</si>
  <si>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</si>
  <si>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</si>
  <si>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</si>
  <si>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</si>
  <si>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</si>
  <si>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</si>
  <si>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</si>
  <si>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</si>
  <si>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</si>
  <si>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</si>
  <si>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</si>
  <si>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</si>
  <si>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</si>
  <si>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</si>
  <si>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</si>
  <si>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</si>
  <si>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</si>
  <si>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</si>
  <si>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</si>
  <si>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</si>
  <si>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</si>
  <si>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</si>
  <si>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</si>
  <si>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</si>
  <si>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</si>
  <si>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</si>
  <si>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</si>
  <si>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</si>
  <si>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</si>
  <si>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</si>
  <si>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</si>
  <si>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</si>
  <si>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</si>
  <si>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</si>
  <si>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</si>
  <si>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</si>
  <si>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</si>
  <si>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</si>
  <si>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</si>
  <si>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</si>
  <si>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</si>
  <si>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</si>
  <si>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</si>
  <si>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</si>
  <si>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</si>
  <si>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</si>
  <si>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</si>
  <si>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</si>
  <si>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</si>
  <si>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</si>
  <si>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</si>
  <si>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</si>
  <si>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</si>
  <si>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</si>
  <si>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</si>
  <si>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</si>
  <si>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</si>
  <si>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</si>
  <si>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</si>
  <si>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</si>
  <si>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</si>
  <si>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</si>
  <si>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</si>
  <si>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</si>
  <si>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</si>
  <si>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</si>
  <si>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</si>
  <si>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</si>
  <si>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</si>
  <si>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</si>
  <si>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</si>
  <si>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</si>
  <si>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</si>
  <si>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</si>
  <si>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</si>
  <si>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</si>
  <si>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</si>
  <si>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</si>
  <si>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</si>
  <si>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</si>
  <si>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</si>
  <si>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</si>
  <si>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</si>
  <si>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</si>
  <si>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</si>
  <si>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</si>
  <si>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</si>
  <si>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</si>
  <si>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</si>
  <si>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</si>
  <si>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</si>
  <si>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</si>
  <si>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</si>
  <si>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</si>
  <si>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</si>
  <si>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</si>
  <si>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</si>
  <si>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</si>
  <si>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</si>
  <si>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</si>
  <si>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</si>
  <si>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</si>
  <si>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</si>
  <si>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</si>
  <si>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</si>
  <si>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</si>
  <si>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</si>
  <si>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</si>
  <si>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</si>
  <si>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</si>
  <si>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</si>
  <si>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</si>
  <si>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</si>
  <si>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</si>
  <si>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</si>
  <si>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</si>
  <si>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</si>
  <si>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</si>
  <si>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</si>
  <si>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</si>
  <si>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</si>
  <si>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</si>
  <si>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</si>
  <si>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</si>
  <si>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</si>
  <si>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</si>
  <si>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</si>
  <si>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</si>
  <si>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</si>
  <si>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</si>
  <si>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</si>
  <si>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</si>
  <si>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</si>
  <si>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</si>
  <si>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</si>
  <si>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</si>
  <si>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</si>
  <si>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</si>
  <si>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</si>
  <si>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</si>
  <si>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</si>
  <si>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</si>
  <si>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</si>
  <si>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</si>
  <si>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</si>
  <si>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</si>
  <si>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</si>
  <si>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</si>
  <si>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</si>
  <si>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</si>
  <si>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</si>
  <si>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</si>
  <si>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</si>
  <si>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</si>
  <si>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</si>
  <si>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</si>
  <si>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</si>
  <si>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</si>
  <si>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</si>
  <si>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</si>
  <si>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</si>
  <si>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</si>
  <si>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</si>
  <si>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</si>
  <si>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</si>
  <si>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</si>
  <si>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</si>
  <si>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</si>
  <si>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</si>
  <si>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</si>
  <si>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</si>
  <si>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</si>
  <si>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</si>
  <si>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</si>
  <si>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</si>
  <si>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</si>
  <si>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</si>
  <si>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</si>
  <si>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</si>
  <si>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</si>
  <si>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</si>
  <si>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</si>
  <si>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</si>
  <si>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</si>
  <si>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</si>
  <si>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</si>
  <si>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</si>
  <si>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</si>
  <si>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</si>
  <si>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</si>
  <si>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</si>
  <si>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</si>
  <si>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</si>
  <si>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</si>
  <si>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</si>
  <si>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</si>
  <si>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</si>
  <si>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</si>
  <si>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</si>
  <si>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</si>
  <si>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</si>
  <si>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</si>
  <si>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</si>
  <si>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</si>
  <si>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</si>
  <si>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</si>
  <si>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</si>
  <si>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</si>
  <si>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</si>
  <si>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</si>
  <si>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</si>
  <si>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</si>
  <si>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</si>
  <si>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</si>
  <si>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</si>
  <si>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</si>
  <si>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</si>
  <si>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</si>
  <si>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</si>
  <si>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</si>
  <si>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</si>
  <si>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</si>
  <si>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</si>
  <si>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</si>
  <si>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</si>
  <si>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</si>
  <si>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</si>
  <si>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</si>
  <si>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</si>
  <si>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</si>
  <si>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</si>
  <si>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</si>
  <si>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</si>
  <si>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</si>
  <si>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</si>
  <si>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</si>
  <si>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</si>
  <si>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</si>
  <si>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</si>
  <si>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</si>
  <si>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</si>
  <si>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</si>
  <si>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</si>
  <si>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</si>
  <si>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</si>
  <si>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</si>
  <si>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</si>
  <si>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</si>
  <si>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</si>
  <si>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</si>
  <si>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</si>
  <si>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</si>
  <si>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</si>
  <si>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</si>
  <si>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</si>
  <si>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</si>
  <si>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</si>
  <si>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</si>
  <si>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</si>
  <si>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</si>
  <si>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</si>
  <si>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</si>
  <si>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</si>
  <si>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</si>
  <si>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</si>
  <si>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</si>
  <si>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</si>
  <si>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</si>
  <si>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</si>
  <si>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</si>
  <si>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</si>
  <si>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</si>
  <si>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</si>
  <si>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</si>
  <si>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</si>
  <si>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</si>
  <si>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</si>
  <si>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</si>
  <si>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</si>
  <si>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</si>
  <si>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</si>
  <si>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</si>
  <si>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</si>
  <si>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</si>
  <si>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</si>
  <si>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</si>
  <si>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</si>
  <si>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</si>
  <si>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</si>
  <si>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</si>
  <si>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</si>
  <si>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</si>
  <si>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</si>
  <si>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</si>
  <si>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</si>
  <si>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</si>
  <si>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</si>
  <si>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</si>
  <si>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</si>
  <si>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</si>
  <si>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</si>
  <si>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</si>
  <si>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</si>
  <si>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</si>
  <si>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</si>
  <si>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</si>
  <si>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</si>
  <si>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</si>
  <si>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</si>
  <si>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</si>
  <si>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</si>
  <si>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</si>
  <si>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</si>
  <si>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</si>
  <si>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</si>
  <si>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</si>
  <si>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</si>
  <si>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</si>
  <si>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</si>
  <si>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</si>
  <si>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</si>
  <si>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</si>
  <si>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</si>
  <si>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</si>
  <si>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</si>
  <si>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</si>
  <si>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</si>
  <si>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</si>
  <si>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</si>
  <si>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</si>
  <si>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</si>
  <si>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</si>
  <si>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</si>
  <si>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</si>
  <si>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</si>
  <si>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</si>
  <si>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</si>
  <si>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</si>
  <si>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</si>
  <si>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</si>
  <si>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</si>
  <si>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</si>
  <si>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</si>
  <si>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</si>
  <si>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</si>
  <si>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</si>
  <si>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</si>
  <si>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</si>
  <si>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</si>
  <si>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</si>
  <si>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</si>
  <si>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</si>
  <si>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</si>
  <si>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</si>
  <si>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</si>
  <si>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</si>
  <si>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</si>
  <si>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</si>
  <si>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</si>
  <si>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</si>
  <si>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</si>
  <si>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</si>
  <si>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</si>
  <si>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</si>
  <si>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</si>
  <si>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</si>
  <si>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</si>
  <si>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</si>
  <si>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</si>
  <si>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</si>
  <si>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</si>
  <si>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</si>
  <si>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</si>
  <si>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</si>
  <si>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</si>
  <si>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</si>
  <si>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</si>
  <si>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</si>
  <si>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</si>
  <si>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</si>
  <si>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</si>
  <si>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</si>
  <si>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</si>
  <si>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</si>
  <si>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</si>
  <si>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</si>
  <si>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</si>
  <si>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</si>
  <si>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</si>
  <si>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</si>
  <si>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</si>
  <si>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</si>
  <si>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</si>
  <si>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</si>
  <si>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</si>
  <si>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</si>
  <si>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</si>
  <si>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</si>
  <si>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</si>
  <si>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</si>
  <si>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</si>
  <si>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</si>
  <si>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</si>
  <si>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</si>
  <si>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</si>
  <si>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</si>
  <si>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</si>
  <si>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</si>
  <si>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</si>
  <si>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</si>
  <si>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</si>
  <si>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</si>
  <si>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</si>
  <si>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</si>
  <si>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</si>
  <si>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</si>
  <si>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</si>
  <si>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</si>
  <si>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</si>
  <si>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</si>
  <si>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</si>
  <si>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</si>
  <si>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</si>
  <si>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</si>
  <si>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</si>
  <si>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</si>
  <si>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</si>
  <si>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</si>
  <si>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</si>
  <si>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</si>
  <si>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</si>
  <si>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</si>
  <si>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</si>
  <si>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</si>
  <si>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</si>
  <si>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</si>
  <si>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</si>
  <si>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</si>
  <si>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</si>
  <si>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</si>
  <si>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</si>
  <si>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</si>
  <si>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</si>
  <si>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</si>
  <si>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</si>
  <si>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</si>
  <si>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</si>
  <si>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</si>
  <si>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</si>
  <si>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</si>
  <si>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</si>
  <si>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</si>
  <si>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</si>
  <si>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</si>
  <si>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</si>
  <si>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</si>
  <si>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</si>
  <si>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</si>
  <si>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</si>
  <si>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</si>
  <si>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</si>
  <si>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</si>
  <si>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</si>
  <si>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</si>
  <si>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</si>
  <si>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</si>
  <si>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</si>
  <si>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</si>
  <si>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</si>
  <si>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</si>
  <si>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</si>
  <si>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</si>
  <si>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</si>
  <si>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</si>
  <si>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</si>
  <si>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</si>
  <si>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</si>
  <si>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</si>
  <si>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</si>
  <si>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</si>
  <si>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</si>
  <si>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</si>
  <si>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</si>
  <si>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</si>
  <si>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</si>
  <si>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</si>
  <si>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</si>
  <si>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</si>
  <si>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</si>
  <si>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</si>
  <si>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</si>
  <si>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</si>
  <si>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</si>
  <si>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</si>
  <si>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</si>
  <si>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</si>
  <si>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</si>
  <si>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</si>
  <si>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</si>
  <si>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</si>
  <si>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</si>
  <si>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</si>
  <si>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</si>
  <si>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</si>
  <si>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</si>
  <si>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</si>
  <si>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</si>
  <si>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</si>
  <si>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</si>
  <si>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</si>
  <si>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</si>
  <si>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</si>
  <si>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</si>
  <si>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</si>
  <si>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</si>
  <si>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</si>
  <si>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</si>
  <si>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</si>
  <si>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</si>
  <si>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</si>
  <si>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</si>
  <si>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</si>
  <si>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</si>
  <si>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</si>
  <si>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</si>
  <si>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</si>
  <si>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</si>
  <si>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</si>
  <si>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</si>
  <si>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</si>
  <si>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</si>
  <si>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</si>
  <si>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</si>
  <si>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</si>
  <si>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</si>
  <si>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</si>
  <si>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</si>
  <si>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</si>
  <si>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</si>
  <si>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</si>
  <si>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</si>
  <si>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</si>
  <si>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</si>
  <si>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</si>
  <si>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</si>
  <si>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</si>
  <si>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</si>
  <si>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</si>
  <si>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</si>
  <si>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</si>
  <si>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</si>
  <si>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</si>
  <si>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</si>
  <si>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</si>
  <si>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</si>
  <si>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</si>
  <si>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</si>
  <si>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</si>
  <si>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</si>
  <si>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</si>
  <si>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</si>
  <si>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</si>
  <si>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</si>
  <si>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</si>
  <si>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</si>
  <si>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</si>
  <si>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</si>
  <si>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</si>
  <si>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</si>
  <si>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</si>
  <si>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</si>
  <si>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</si>
  <si>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</si>
  <si>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</si>
  <si>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</si>
  <si>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</si>
  <si>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</si>
  <si>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</si>
  <si>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</si>
  <si>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</si>
  <si>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</si>
  <si>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</si>
  <si>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</si>
  <si>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</si>
  <si>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</si>
  <si>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</si>
  <si>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</si>
  <si>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</si>
  <si>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</si>
  <si>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</si>
  <si>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</si>
  <si>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</si>
  <si>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</si>
  <si>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</si>
  <si>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</si>
  <si>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</si>
  <si>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</si>
  <si>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</si>
  <si>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</si>
  <si>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</si>
  <si>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</si>
  <si>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</si>
  <si>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</si>
  <si>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</si>
  <si>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</si>
  <si>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</si>
  <si>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</si>
  <si>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</si>
  <si>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</si>
  <si>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</si>
  <si>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</si>
  <si>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</si>
  <si>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</si>
  <si>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</si>
  <si>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</si>
  <si>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</si>
  <si>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</si>
  <si>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</si>
  <si>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</si>
  <si>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</si>
  <si>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</si>
  <si>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</si>
  <si>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</si>
  <si>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</si>
  <si>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</si>
  <si>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</si>
  <si>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</si>
  <si>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</si>
  <si>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</si>
  <si>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</si>
  <si>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</si>
  <si>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</si>
  <si>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</si>
  <si>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</si>
  <si>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</si>
  <si>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</si>
  <si>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</si>
  <si>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</si>
  <si>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</si>
  <si>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</si>
  <si>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</si>
  <si>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</si>
  <si>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</si>
  <si>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</si>
  <si>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</si>
  <si>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</si>
  <si>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</si>
  <si>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</si>
  <si>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</si>
  <si>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</si>
  <si>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</si>
  <si>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</si>
  <si>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</si>
  <si>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</si>
  <si>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</si>
  <si>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</si>
  <si>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</si>
  <si>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</si>
  <si>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</si>
  <si>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</si>
  <si>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</si>
  <si>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</si>
  <si>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</si>
  <si>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</si>
  <si>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</si>
  <si>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</si>
  <si>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</si>
  <si>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</si>
  <si>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</si>
  <si>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</si>
  <si>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</si>
  <si>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</si>
  <si>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</si>
  <si>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</si>
  <si>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</si>
  <si>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</si>
  <si>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</si>
  <si>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</si>
  <si>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</si>
  <si>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</si>
  <si>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</si>
  <si>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</si>
  <si>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</si>
  <si>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</si>
  <si>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</si>
  <si>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</si>
  <si>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</si>
  <si>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</si>
  <si>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</si>
  <si>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</si>
  <si>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</si>
  <si>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</si>
  <si>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</si>
  <si>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</si>
  <si>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</si>
  <si>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</si>
  <si>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</si>
  <si>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</si>
  <si>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</si>
  <si>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</si>
  <si>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</si>
  <si>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</si>
  <si>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</si>
  <si>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</si>
  <si>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</si>
  <si>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</si>
  <si>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</si>
  <si>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</si>
  <si>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</si>
  <si>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</si>
  <si>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</si>
  <si>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</si>
  <si>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</si>
  <si>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</si>
  <si>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</si>
  <si>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</si>
  <si>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</si>
  <si>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</si>
  <si>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</si>
  <si>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</si>
  <si>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</si>
  <si>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</si>
  <si>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</si>
  <si>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</si>
  <si>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</si>
  <si>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</si>
  <si>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</si>
  <si>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</si>
  <si>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</si>
  <si>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</si>
  <si>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</si>
  <si>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</si>
  <si>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</si>
  <si>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</si>
  <si>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</si>
  <si>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</si>
  <si>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</si>
  <si>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</si>
  <si>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</si>
  <si>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</si>
  <si>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</si>
  <si>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</si>
  <si>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</si>
  <si>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</si>
  <si>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</si>
  <si>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</si>
  <si>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</si>
  <si>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</si>
  <si>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</si>
  <si>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</si>
  <si>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</si>
  <si>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</si>
  <si>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</si>
  <si>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</si>
  <si>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</si>
  <si>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</si>
  <si>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</si>
  <si>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</si>
  <si>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</si>
  <si>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</si>
  <si>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</si>
  <si>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</si>
  <si>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</si>
  <si>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</si>
  <si>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</si>
  <si>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</si>
  <si>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</si>
  <si>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</si>
  <si>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</si>
  <si>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</si>
  <si>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</si>
  <si>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</si>
  <si>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</si>
  <si>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</si>
  <si>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</si>
  <si>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</si>
  <si>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</si>
  <si>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</si>
  <si>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</si>
  <si>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</si>
  <si>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</si>
  <si>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</si>
  <si>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</si>
  <si>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</si>
  <si>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</si>
  <si>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</si>
  <si>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</si>
  <si>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</si>
  <si>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</si>
  <si>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</si>
  <si>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</si>
  <si>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</si>
  <si>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</si>
  <si>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</si>
  <si>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</si>
  <si>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</si>
  <si>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</si>
  <si>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</si>
  <si>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</si>
  <si>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</si>
  <si>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</si>
  <si>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</si>
  <si>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</si>
  <si>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</si>
  <si>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</si>
  <si>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</si>
  <si>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</si>
  <si>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</si>
  <si>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</si>
  <si>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</si>
  <si>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</si>
  <si>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</si>
  <si>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</si>
  <si>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</si>
  <si>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</si>
  <si>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</si>
  <si>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</si>
  <si>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</si>
  <si>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</si>
  <si>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</si>
  <si>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</si>
  <si>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</si>
  <si>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</si>
  <si>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</si>
  <si>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</si>
  <si>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</si>
  <si>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</si>
  <si>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</si>
  <si>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</si>
  <si>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</si>
  <si>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</si>
  <si>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</si>
  <si>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</si>
  <si>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</si>
  <si>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</si>
  <si>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</si>
  <si>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</si>
  <si>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</si>
  <si>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</si>
  <si>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</si>
  <si>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</si>
  <si>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</si>
  <si>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</si>
  <si>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</si>
  <si>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</si>
  <si>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</si>
  <si>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</si>
  <si>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</si>
  <si>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</si>
  <si>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</si>
  <si>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</si>
  <si>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</si>
  <si>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</si>
  <si>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</si>
  <si>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</si>
  <si>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</si>
  <si>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</si>
  <si>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</si>
  <si>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</si>
  <si>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</si>
  <si>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</si>
  <si>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</si>
  <si>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</si>
  <si>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</si>
  <si>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</si>
  <si>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</si>
  <si>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</si>
  <si>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</si>
  <si>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</si>
  <si>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</si>
  <si>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</si>
  <si>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</si>
  <si>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</si>
  <si>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</si>
  <si>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</si>
  <si>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</si>
  <si>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</si>
  <si>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</si>
  <si>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</si>
  <si>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</si>
  <si>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</si>
  <si>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</si>
  <si>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</si>
  <si>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</si>
  <si>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</si>
  <si>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</si>
  <si>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</si>
  <si>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</si>
  <si>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</si>
  <si>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</si>
  <si>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</si>
  <si>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</si>
  <si>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</si>
  <si>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</si>
  <si>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</si>
  <si>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</si>
  <si>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</si>
  <si>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</si>
  <si>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</si>
  <si>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</si>
  <si>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</si>
  <si>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</si>
  <si>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</si>
  <si>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</si>
  <si>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</si>
  <si>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</si>
  <si>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</si>
  <si>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</si>
  <si>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</si>
  <si>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</si>
  <si>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</si>
  <si>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</si>
  <si>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</si>
  <si>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</si>
  <si>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</si>
  <si>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</si>
  <si>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</si>
  <si>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</si>
  <si>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</si>
  <si>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</si>
  <si>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</si>
  <si>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</si>
  <si>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</si>
  <si>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</si>
  <si>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</si>
  <si>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</si>
  <si>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</si>
  <si>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</si>
  <si>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</si>
  <si>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</si>
  <si>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</si>
  <si>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</si>
  <si>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</si>
  <si>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</si>
  <si>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</si>
  <si>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</si>
  <si>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</si>
  <si>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</si>
  <si>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</si>
  <si>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</si>
  <si>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</si>
  <si>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</si>
  <si>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</si>
  <si>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</si>
  <si>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</si>
  <si>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</si>
  <si>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</si>
  <si>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</si>
  <si>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</si>
  <si>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</si>
  <si>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</si>
  <si>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</si>
  <si>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</si>
  <si>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</si>
  <si>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</si>
  <si>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</si>
  <si>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</si>
  <si>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</si>
  <si>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</si>
  <si>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</si>
  <si>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</si>
  <si>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</si>
  <si>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</si>
  <si>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</si>
  <si>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</si>
  <si>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</si>
  <si>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</si>
  <si>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</si>
  <si>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</si>
  <si>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</si>
  <si>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</si>
  <si>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</si>
  <si>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</si>
  <si>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</si>
  <si>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</si>
  <si>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</si>
  <si>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</si>
  <si>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</si>
  <si>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</si>
  <si>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</si>
  <si>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</si>
  <si>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</si>
  <si>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</si>
  <si>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</si>
  <si>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</si>
  <si>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</si>
  <si>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</si>
  <si>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</si>
  <si>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</si>
  <si>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</si>
  <si>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</si>
  <si>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</si>
  <si>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</si>
  <si>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</si>
  <si>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</si>
  <si>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</si>
  <si>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</si>
  <si>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</si>
  <si>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</si>
  <si>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</si>
  <si>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</si>
  <si>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</si>
  <si>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</si>
  <si>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</si>
  <si>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</si>
  <si>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</si>
  <si>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</si>
  <si>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</si>
  <si>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</si>
  <si>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</si>
  <si>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</si>
  <si>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</si>
  <si>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</si>
  <si>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</si>
  <si>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</si>
  <si>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</si>
  <si>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</si>
  <si>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</si>
  <si>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</si>
  <si>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</si>
  <si>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</si>
  <si>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</si>
  <si>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</si>
  <si>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</si>
  <si>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</si>
  <si>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</si>
  <si>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</si>
  <si>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</si>
  <si>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</si>
  <si>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</si>
  <si>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</si>
  <si>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</si>
  <si>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</si>
  <si>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</si>
  <si>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</si>
  <si>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</si>
  <si>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</si>
  <si>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</si>
  <si>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</si>
  <si>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</si>
  <si>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</si>
  <si>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</si>
  <si>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</si>
  <si>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</si>
  <si>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</si>
  <si>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</si>
  <si>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</si>
  <si>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</si>
  <si>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</si>
  <si>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</si>
  <si>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</si>
  <si>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</si>
  <si>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</si>
  <si>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</si>
  <si>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</si>
  <si>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</si>
  <si>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</si>
  <si>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</si>
  <si>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</si>
  <si>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</si>
  <si>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</si>
  <si>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</si>
  <si>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</si>
  <si>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</si>
  <si>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</si>
  <si>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</si>
  <si>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</si>
  <si>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</si>
  <si>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</si>
  <si>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</si>
  <si>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</si>
  <si>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</si>
  <si>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</si>
  <si>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</si>
  <si>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</si>
  <si>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</si>
  <si>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</si>
  <si>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</si>
  <si>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</si>
  <si>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</si>
  <si>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</si>
  <si>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</si>
  <si>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</si>
  <si>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</si>
  <si>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</si>
  <si>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</si>
  <si>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</si>
  <si>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</si>
  <si>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</si>
  <si>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</si>
  <si>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</si>
  <si>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</si>
  <si>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</si>
  <si>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</si>
  <si>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</si>
  <si>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</si>
  <si>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</si>
  <si>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</si>
  <si>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</si>
  <si>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</si>
  <si>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</si>
  <si>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</si>
  <si>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</si>
  <si>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</si>
  <si>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</si>
  <si>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</si>
  <si>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</si>
  <si>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</si>
  <si>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</si>
  <si>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</si>
  <si>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</si>
  <si>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</si>
  <si>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</si>
  <si>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</si>
  <si>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</si>
  <si>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</si>
  <si>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</si>
  <si>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</si>
  <si>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</si>
  <si>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</si>
  <si>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</si>
  <si>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</si>
  <si>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</si>
  <si>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</si>
  <si>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</si>
  <si>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</si>
  <si>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</si>
  <si>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</si>
  <si>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</si>
  <si>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</si>
  <si>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</si>
  <si>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</si>
  <si>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</si>
  <si>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</si>
  <si>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</si>
  <si>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</si>
  <si>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</si>
  <si>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</si>
  <si>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</si>
  <si>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</si>
  <si>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</si>
  <si>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</si>
  <si>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</si>
  <si>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</si>
  <si>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</si>
  <si>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</si>
  <si>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</si>
  <si>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</si>
  <si>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</si>
  <si>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</si>
  <si>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</si>
  <si>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 xml:space="preserve"> Kč</t>
  </si>
  <si>
    <t xml:space="preserve"> EUR</t>
  </si>
  <si>
    <t xml:space="preserve"> zl.</t>
  </si>
  <si>
    <t xml:space="preserve"> HUF</t>
  </si>
  <si>
    <t>17.04.2026</t>
  </si>
  <si>
    <t>26.05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</si>
</sst>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8" fontId="38" fillId="0" borderId="46" xfId="0" applyNumberFormat="1" applyFont="1" applyBorder="1" applyAlignment="1" applyProtection="1">
      <alignment horizontal="center"/>
      <protection hidden="1"/>
    </xf>
    <xf numFmtId="168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8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8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46" xfId="0" applyNumberFormat="1" applyFont="1" applyBorder="1" applyProtection="1">
      <protection hidden="1"/>
    </xf>
    <xf numFmtId="167" fontId="38" fillId="0" borderId="57" xfId="1" applyNumberFormat="1" applyFont="1" applyFill="1" applyBorder="1" applyAlignment="1" applyProtection="1">
      <protection hidden="1"/>
    </xf>
    <xf numFmtId="167" fontId="38" fillId="0" borderId="57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168" fontId="38" fillId="0" borderId="55" xfId="0" applyNumberFormat="1" applyFont="1" applyBorder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168" fontId="38" fillId="0" borderId="57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8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9"/>
      <c r="E1" s="399"/>
      <c r="F1" s="399"/>
      <c r="G1" s="399"/>
      <c r="H1" s="399"/>
      <c r="I1" s="399"/>
      <c r="J1" s="399"/>
      <c r="K1" s="399"/>
    </row>
    <row r="2" spans="1:11" ht="12" customHeight="1" x14ac:dyDescent="0.2">
      <c r="D2" s="399"/>
      <c r="E2" s="399"/>
      <c r="F2" s="399"/>
      <c r="G2" s="399"/>
      <c r="H2" s="399"/>
      <c r="I2" s="399"/>
      <c r="J2" s="399"/>
      <c r="K2" s="399"/>
    </row>
    <row r="3" spans="1:11" x14ac:dyDescent="0.2">
      <c r="D3" s="399"/>
      <c r="E3" s="399"/>
      <c r="F3" s="399"/>
      <c r="G3" s="399"/>
      <c r="H3" s="399"/>
      <c r="I3" s="399"/>
      <c r="J3" s="399"/>
      <c r="K3" s="399"/>
    </row>
    <row r="4" spans="1:11" x14ac:dyDescent="0.2">
      <c r="D4" s="399"/>
      <c r="E4" s="399"/>
      <c r="F4" s="399"/>
      <c r="G4" s="399"/>
      <c r="H4" s="399"/>
      <c r="I4" s="399"/>
      <c r="J4" s="399"/>
      <c r="K4" s="399"/>
    </row>
    <row r="5" spans="1:11" x14ac:dyDescent="0.2">
      <c r="D5" s="399"/>
      <c r="E5" s="399"/>
      <c r="F5" s="399"/>
      <c r="G5" s="399"/>
      <c r="H5" s="399"/>
      <c r="I5" s="399"/>
      <c r="J5" s="399"/>
      <c r="K5" s="399"/>
    </row>
    <row r="6" spans="1:11" x14ac:dyDescent="0.2">
      <c r="D6" s="399"/>
      <c r="E6" s="399"/>
      <c r="F6" s="399"/>
      <c r="G6" s="399"/>
      <c r="H6" s="399"/>
      <c r="I6" s="399"/>
      <c r="J6" s="399"/>
      <c r="K6" s="399"/>
    </row>
    <row r="7" spans="1:11" ht="20.100000000000001" customHeight="1" x14ac:dyDescent="0.25">
      <c r="A7" s="1" t="s">
        <v>70</v>
      </c>
      <c r="B7" s="427" t="s">
        <v>435</v>
      </c>
      <c r="C7" s="384"/>
      <c r="D7" s="384"/>
      <c r="H7" s="384"/>
    </row>
    <row r="8" spans="1:11" ht="3" customHeight="1" x14ac:dyDescent="0.25">
      <c r="B8" s="2"/>
      <c r="D8" s="384"/>
      <c r="H8" s="384"/>
    </row>
    <row r="9" spans="1:11" ht="20.100000000000001" customHeight="1" x14ac:dyDescent="0.25">
      <c r="A9" s="1" t="s">
        <v>67</v>
      </c>
      <c r="B9" s="430">
        <f>'Objednávka žaluzií'!N9</f>
        <v>36</v>
      </c>
      <c r="C9" s="431"/>
      <c r="D9" s="384"/>
      <c r="H9" s="384"/>
    </row>
    <row r="10" spans="1:11" ht="3" customHeight="1" x14ac:dyDescent="0.25">
      <c r="A10" s="1"/>
    </row>
    <row r="11" spans="1:11" ht="18" x14ac:dyDescent="0.25">
      <c r="A11" s="1" t="s">
        <v>68</v>
      </c>
      <c r="B11" s="430">
        <f>'Objednávka žaluzií'!N11</f>
        <v>36</v>
      </c>
      <c r="C11" s="431"/>
    </row>
    <row r="12" spans="1:11" ht="3" customHeight="1" x14ac:dyDescent="0.25">
      <c r="A12" s="1"/>
    </row>
    <row r="13" spans="1:11" ht="18" x14ac:dyDescent="0.25">
      <c r="A13" s="1" t="s">
        <v>69</v>
      </c>
      <c r="B13" s="430">
        <f>'Objednávka žaluzií'!T13</f>
        <v>0</v>
      </c>
      <c r="C13" s="431"/>
    </row>
    <row r="14" spans="1:11" ht="3" customHeight="1" x14ac:dyDescent="0.2"/>
    <row r="15" spans="1:11" ht="18" x14ac:dyDescent="0.25">
      <c r="A15" s="1" t="s">
        <v>71</v>
      </c>
      <c r="B15" s="428"/>
      <c r="C15" s="384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Vertikální (ze shora dolů)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7" t="s">
        <v>87</v>
      </c>
      <c r="B21" s="408"/>
      <c r="C21" s="409"/>
      <c r="D21" s="391" t="s">
        <v>88</v>
      </c>
      <c r="E21" s="392"/>
      <c r="F21" s="391" t="s">
        <v>89</v>
      </c>
      <c r="G21" s="392"/>
      <c r="H21" s="401" t="s">
        <v>4</v>
      </c>
      <c r="I21" s="402"/>
      <c r="J21" s="400" t="s">
        <v>3</v>
      </c>
      <c r="K21" s="389"/>
    </row>
    <row r="22" spans="1:11" ht="12.75" customHeight="1" thickBot="1" x14ac:dyDescent="0.25">
      <c r="A22" s="410"/>
      <c r="B22" s="411"/>
      <c r="C22" s="412"/>
      <c r="D22" s="393"/>
      <c r="E22" s="394"/>
      <c r="F22" s="393"/>
      <c r="G22" s="394"/>
      <c r="H22" s="403"/>
      <c r="I22" s="404"/>
      <c r="J22" s="400"/>
      <c r="K22" s="389"/>
    </row>
    <row r="23" spans="1:11" ht="13.5" thickBot="1" x14ac:dyDescent="0.25">
      <c r="A23" s="405" t="s">
        <v>7</v>
      </c>
      <c r="B23" s="406"/>
      <c r="C23" s="406"/>
      <c r="D23" s="388">
        <f>IF(výpočty!$U$14=1,Kalkulace!D10,Kalkulace!D56)</f>
        <v>0</v>
      </c>
      <c r="E23" s="398"/>
      <c r="F23" s="388">
        <f>IF(výpočty!$U$14=1,Kalkulace!E10,Kalkulace!E56)</f>
        <v>0</v>
      </c>
      <c r="G23" s="398"/>
      <c r="H23" s="388">
        <f>IF(výpočty!$U$14=1,Kalkulace!F10,Kalkulace!F56)</f>
        <v>0</v>
      </c>
      <c r="I23" s="398"/>
      <c r="J23" s="388">
        <f>IF(výpočty!$U$14=1,Kalkulace!G10,Kalkulace!G56)</f>
        <v>0</v>
      </c>
      <c r="K23" s="389"/>
    </row>
    <row r="24" spans="1:11" ht="13.5" thickBot="1" x14ac:dyDescent="0.25">
      <c r="A24" s="405" t="s">
        <v>8</v>
      </c>
      <c r="B24" s="406"/>
      <c r="C24" s="406"/>
      <c r="D24" s="388">
        <f>IF(výpočty!$U$14=1,Kalkulace!D11,Kalkulace!D57)</f>
        <v>30.731887999999998</v>
      </c>
      <c r="E24" s="398"/>
      <c r="F24" s="388">
        <f>IF(výpočty!$U$14=1,Kalkulace!E11,Kalkulace!E57)</f>
        <v>30.731887999999998</v>
      </c>
      <c r="G24" s="398"/>
      <c r="H24" s="388" t="e">
        <f>IF(výpočty!$U$14=1,Kalkulace!F11,Kalkulace!F57)</f>
        <v>#N/A</v>
      </c>
      <c r="I24" s="398"/>
      <c r="J24" s="388">
        <f>IF(výpočty!$U$14=1,Kalkulace!G11,Kalkulace!G57)</f>
        <v>30.731887999999998</v>
      </c>
      <c r="K24" s="389"/>
    </row>
    <row r="25" spans="1:11" ht="13.5" thickBot="1" x14ac:dyDescent="0.25">
      <c r="A25" s="405" t="s">
        <v>81</v>
      </c>
      <c r="B25" s="406"/>
      <c r="C25" s="406"/>
      <c r="D25" s="388">
        <f>IF(výpočty!$U$14=1,Kalkulace!D12,Kalkulace!D58)</f>
        <v>131.212546</v>
      </c>
      <c r="E25" s="398"/>
      <c r="F25" s="388">
        <f>IF(výpočty!$U$14=1,Kalkulace!E12,Kalkulace!E58)</f>
        <v>131.212546</v>
      </c>
      <c r="G25" s="398"/>
      <c r="H25" s="388" t="e">
        <f>IF(výpočty!$U$14=1,Kalkulace!F12,Kalkulace!F58)</f>
        <v>#N/A</v>
      </c>
      <c r="I25" s="398"/>
      <c r="J25" s="388">
        <f>IF(výpočty!$U$14=1,Kalkulace!G12,Kalkulace!G58)</f>
        <v>131.212546</v>
      </c>
      <c r="K25" s="389"/>
    </row>
    <row r="26" spans="1:11" ht="13.5" thickBot="1" x14ac:dyDescent="0.25">
      <c r="A26" s="416" t="s">
        <v>82</v>
      </c>
      <c r="B26" s="416"/>
      <c r="C26" s="417"/>
      <c r="D26" s="388">
        <f>IF(výpočty!$U$14=1,Kalkulace!D13,Kalkulace!D59)</f>
        <v>370.91292500000003</v>
      </c>
      <c r="E26" s="398"/>
      <c r="F26" s="388">
        <f>IF(výpočty!$U$14=1,Kalkulace!E13,Kalkulace!E59)</f>
        <v>224.974065</v>
      </c>
      <c r="G26" s="398"/>
      <c r="H26" s="388" t="e">
        <f>IF(výpočty!$U$14=1,Kalkulace!F13,Kalkulace!F59)</f>
        <v>#N/A</v>
      </c>
      <c r="I26" s="398"/>
      <c r="J26" s="388">
        <f>IF(výpočty!$U$14=1,Kalkulace!G13,Kalkulace!G59)</f>
        <v>852.44291999999996</v>
      </c>
      <c r="K26" s="389"/>
    </row>
    <row r="27" spans="1:11" s="1" customFormat="1" ht="18.75" thickBot="1" x14ac:dyDescent="0.3">
      <c r="A27" s="413" t="s">
        <v>5</v>
      </c>
      <c r="B27" s="414"/>
      <c r="C27" s="415"/>
      <c r="D27" s="386">
        <f>SUM(D23:E26)</f>
        <v>532.85735900000009</v>
      </c>
      <c r="E27" s="387"/>
      <c r="F27" s="386">
        <f>SUM(F23:G26)</f>
        <v>386.918499</v>
      </c>
      <c r="G27" s="387"/>
      <c r="H27" s="386" t="e">
        <f>SUM(H23:I26)</f>
        <v>#N/A</v>
      </c>
      <c r="I27" s="387"/>
      <c r="J27" s="386">
        <f>SUM(J23:K26)</f>
        <v>1014.387354</v>
      </c>
      <c r="K27" s="387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7" t="s">
        <v>87</v>
      </c>
      <c r="B31" s="408"/>
      <c r="C31" s="409"/>
      <c r="D31" s="391" t="s">
        <v>88</v>
      </c>
      <c r="E31" s="392"/>
      <c r="F31" s="391" t="s">
        <v>89</v>
      </c>
      <c r="G31" s="392"/>
      <c r="H31" s="401" t="s">
        <v>4</v>
      </c>
      <c r="I31" s="402"/>
      <c r="J31" s="400" t="s">
        <v>3</v>
      </c>
      <c r="K31" s="389"/>
    </row>
    <row r="32" spans="1:11" ht="12.75" customHeight="1" thickBot="1" x14ac:dyDescent="0.25">
      <c r="A32" s="410"/>
      <c r="B32" s="411"/>
      <c r="C32" s="412"/>
      <c r="D32" s="393"/>
      <c r="E32" s="394"/>
      <c r="F32" s="393"/>
      <c r="G32" s="394"/>
      <c r="H32" s="403"/>
      <c r="I32" s="404"/>
      <c r="J32" s="400"/>
      <c r="K32" s="389"/>
    </row>
    <row r="33" spans="1:11" ht="13.5" thickBot="1" x14ac:dyDescent="0.25">
      <c r="A33" s="405" t="s">
        <v>7</v>
      </c>
      <c r="B33" s="406"/>
      <c r="C33" s="406"/>
      <c r="D33" s="388">
        <f>IF(výpočty!$U$14=1,Kalkulace!D20,Kalkulace!D66)</f>
        <v>0</v>
      </c>
      <c r="E33" s="398"/>
      <c r="F33" s="388">
        <f>IF(výpočty!$U$14=1,Kalkulace!E20,Kalkulace!E66)</f>
        <v>0</v>
      </c>
      <c r="G33" s="398"/>
      <c r="H33" s="388">
        <f>IF(výpočty!$U$14=1,Kalkulace!F20,Kalkulace!F66)</f>
        <v>0</v>
      </c>
      <c r="I33" s="398"/>
      <c r="J33" s="388">
        <f>IF(výpočty!$U$14=1,Kalkulace!G20,Kalkulace!G66)</f>
        <v>0</v>
      </c>
      <c r="K33" s="389"/>
    </row>
    <row r="34" spans="1:11" ht="13.5" thickBot="1" x14ac:dyDescent="0.25">
      <c r="A34" s="405" t="s">
        <v>8</v>
      </c>
      <c r="B34" s="406"/>
      <c r="C34" s="406"/>
      <c r="D34" s="388">
        <f>IF(výpočty!$U$14=1,Kalkulace!D21,Kalkulace!D67)</f>
        <v>22.692900000000002</v>
      </c>
      <c r="E34" s="398"/>
      <c r="F34" s="388">
        <f>IF(výpočty!$U$14=1,Kalkulace!E21,Kalkulace!E67)</f>
        <v>22.692900000000002</v>
      </c>
      <c r="G34" s="398"/>
      <c r="H34" s="388">
        <f>IF(výpočty!$U$14=1,Kalkulace!F21,Kalkulace!F67)</f>
        <v>62.128398000000004</v>
      </c>
      <c r="I34" s="398"/>
      <c r="J34" s="388">
        <f>IF(výpočty!$U$14=1,Kalkulace!G21,Kalkulace!G67)</f>
        <v>22.692900000000002</v>
      </c>
      <c r="K34" s="389"/>
    </row>
    <row r="35" spans="1:11" ht="13.5" thickBot="1" x14ac:dyDescent="0.25">
      <c r="A35" s="405" t="s">
        <v>81</v>
      </c>
      <c r="B35" s="406"/>
      <c r="C35" s="406"/>
      <c r="D35" s="388">
        <f>IF(výpočty!$U$14=1,Kalkulace!D22,Kalkulace!D68)</f>
        <v>125.537256</v>
      </c>
      <c r="E35" s="398"/>
      <c r="F35" s="388">
        <f>IF(výpočty!$U$14=1,Kalkulace!E22,Kalkulace!E68)</f>
        <v>125.537256</v>
      </c>
      <c r="G35" s="398"/>
      <c r="H35" s="388" t="e">
        <f>IF(výpočty!$U$14=1,Kalkulace!F22,Kalkulace!F68)</f>
        <v>#N/A</v>
      </c>
      <c r="I35" s="398"/>
      <c r="J35" s="388">
        <f>IF(výpočty!$U$14=1,Kalkulace!G22,Kalkulace!G68)</f>
        <v>125.537256</v>
      </c>
      <c r="K35" s="389"/>
    </row>
    <row r="36" spans="1:11" ht="13.5" thickBot="1" x14ac:dyDescent="0.25">
      <c r="A36" s="416" t="s">
        <v>82</v>
      </c>
      <c r="B36" s="416"/>
      <c r="C36" s="417"/>
      <c r="D36" s="388">
        <f>IF(výpočty!$U$14=1,Kalkulace!D23,Kalkulace!D69)</f>
        <v>370.91292500000003</v>
      </c>
      <c r="E36" s="398"/>
      <c r="F36" s="388">
        <f>IF(výpočty!$U$14=1,Kalkulace!E23,Kalkulace!E69)</f>
        <v>224.974065</v>
      </c>
      <c r="G36" s="398"/>
      <c r="H36" s="388">
        <f>IF(výpočty!$U$14=1,Kalkulace!F23,Kalkulace!F69)</f>
        <v>1093.86472</v>
      </c>
      <c r="I36" s="398"/>
      <c r="J36" s="388">
        <f>IF(výpočty!$U$14=1,Kalkulace!G23,Kalkulace!G69)</f>
        <v>781.23969499999998</v>
      </c>
      <c r="K36" s="389"/>
    </row>
    <row r="37" spans="1:11" s="1" customFormat="1" ht="18.75" thickBot="1" x14ac:dyDescent="0.3">
      <c r="A37" s="413" t="s">
        <v>5</v>
      </c>
      <c r="B37" s="414"/>
      <c r="C37" s="415"/>
      <c r="D37" s="386">
        <f>SUM(D33:E36)</f>
        <v>519.14308100000005</v>
      </c>
      <c r="E37" s="387"/>
      <c r="F37" s="386">
        <f>SUM(F33:G36)</f>
        <v>373.20422099999996</v>
      </c>
      <c r="G37" s="387"/>
      <c r="H37" s="386" t="e">
        <f>SUM(H33:I36)</f>
        <v>#N/A</v>
      </c>
      <c r="I37" s="387"/>
      <c r="J37" s="386">
        <f>SUM(J33:K36)</f>
        <v>929.46985099999995</v>
      </c>
      <c r="K37" s="387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32" t="s">
        <v>433</v>
      </c>
      <c r="B41" s="391" t="s">
        <v>88</v>
      </c>
      <c r="C41" s="418"/>
      <c r="D41" s="391" t="s">
        <v>89</v>
      </c>
      <c r="E41" s="392"/>
      <c r="F41" s="429" t="s">
        <v>4</v>
      </c>
      <c r="G41" s="392"/>
      <c r="H41" s="423" t="s">
        <v>3</v>
      </c>
      <c r="I41" s="424"/>
      <c r="J41" s="395" t="s">
        <v>100</v>
      </c>
      <c r="K41" s="396"/>
    </row>
    <row r="42" spans="1:11" ht="12.75" customHeight="1" thickBot="1" x14ac:dyDescent="0.25">
      <c r="A42" s="433"/>
      <c r="B42" s="419"/>
      <c r="C42" s="420"/>
      <c r="D42" s="393"/>
      <c r="E42" s="394"/>
      <c r="F42" s="393"/>
      <c r="G42" s="394"/>
      <c r="H42" s="425"/>
      <c r="I42" s="426"/>
      <c r="J42" s="397"/>
      <c r="K42" s="396"/>
    </row>
    <row r="43" spans="1:11" ht="12.75" customHeight="1" thickBot="1" x14ac:dyDescent="0.25">
      <c r="A43" s="433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2.9943</v>
      </c>
      <c r="G44" s="153">
        <f>IF(výpočty!$U$14=1,Kalkulace!H30,Kalkulace!H76)</f>
        <v>2.9943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57.051966000000007</v>
      </c>
      <c r="C45" s="154">
        <f>IF(výpočty!$U$14=1,Kalkulace!D41,Kalkulace!D87)</f>
        <v>127.160656</v>
      </c>
      <c r="D45" s="153">
        <f>IF(výpočty!$U$14=1,Kalkulace!E31,Kalkulace!E77)</f>
        <v>57.051966000000007</v>
      </c>
      <c r="E45" s="154">
        <f>IF(výpočty!$U$14=1,Kalkulace!E41,Kalkulace!E87)</f>
        <v>127.160656</v>
      </c>
      <c r="F45" s="153">
        <f>IF(výpočty!$U$14=1,Kalkulace!F31,Kalkulace!F77)</f>
        <v>92.111895000000004</v>
      </c>
      <c r="G45" s="153">
        <f>IF(výpočty!$U$14=1,Kalkulace!H31,Kalkulace!H77)</f>
        <v>127.160656</v>
      </c>
      <c r="H45" s="153">
        <f>IF(výpočty!$U$14=1,Kalkulace!G31,Kalkulace!G77)</f>
        <v>57.051966000000007</v>
      </c>
      <c r="I45" s="161">
        <f>IF(výpočty!$U$14=1,Kalkulace!H41,Kalkulace!H87)</f>
        <v>127.160656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130.64154100000002</v>
      </c>
      <c r="C46" s="154">
        <f>IF(výpočty!$U$14=1,Kalkulace!D42,Kalkulace!D88)</f>
        <v>159.957741</v>
      </c>
      <c r="D46" s="153">
        <f>IF(výpočty!$U$14=1,Kalkulace!E32,Kalkulace!E78)</f>
        <v>130.64154100000002</v>
      </c>
      <c r="E46" s="154">
        <f>IF(výpočty!$U$14=1,Kalkulace!E42,Kalkulace!E88)</f>
        <v>159.957741</v>
      </c>
      <c r="F46" s="153">
        <f>IF(výpočty!$U$14=1,Kalkulace!F32,Kalkulace!F78)</f>
        <v>130.64154100000002</v>
      </c>
      <c r="G46" s="153">
        <f>IF(výpočty!$U$14=1,Kalkulace!H32,Kalkulace!H78)</f>
        <v>159.957741</v>
      </c>
      <c r="H46" s="153">
        <f>IF(výpočty!$U$14=1,Kalkulace!G32,Kalkulace!G78)</f>
        <v>130.64154100000002</v>
      </c>
      <c r="I46" s="161">
        <f>IF(výpočty!$U$14=1,Kalkulace!H42,Kalkulace!H88)</f>
        <v>159.957741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370.91292500000003</v>
      </c>
      <c r="C47" s="154">
        <f>IF(výpočty!$U$14=1,Kalkulace!D43,Kalkulace!D89)</f>
        <v>370.91292500000003</v>
      </c>
      <c r="D47" s="153">
        <f>IF(výpočty!$U$14=1,Kalkulace!E33,Kalkulace!E79)</f>
        <v>224.974065</v>
      </c>
      <c r="E47" s="154">
        <f>IF(výpočty!$U$14=1,Kalkulace!E43,Kalkulace!E89)</f>
        <v>224.974065</v>
      </c>
      <c r="F47" s="153">
        <f>IF(výpočty!$U$14=1,Kalkulace!F33,Kalkulace!F79)</f>
        <v>1603.7003199999999</v>
      </c>
      <c r="G47" s="153">
        <f>IF(výpočty!$U$14=1,Kalkulace!H33,Kalkulace!H79)</f>
        <v>2226.17047</v>
      </c>
      <c r="H47" s="153">
        <f>IF(výpočty!$U$14=1,Kalkulace!G33,Kalkulace!G79)</f>
        <v>1200.397195</v>
      </c>
      <c r="I47" s="161">
        <f>IF(výpočty!$U$14=1,Kalkulace!H43,Kalkulace!H89)</f>
        <v>1692.8508950000003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558.60643200000004</v>
      </c>
      <c r="C49" s="136">
        <f t="shared" si="0"/>
        <v>658.03132200000005</v>
      </c>
      <c r="D49" s="131">
        <f t="shared" si="0"/>
        <v>412.66757200000001</v>
      </c>
      <c r="E49" s="136">
        <f t="shared" si="0"/>
        <v>512.09246200000007</v>
      </c>
      <c r="F49" s="131">
        <f t="shared" si="0"/>
        <v>1829.448056</v>
      </c>
      <c r="G49" s="131">
        <f t="shared" si="0"/>
        <v>2516.283167</v>
      </c>
      <c r="H49" s="131">
        <f t="shared" si="0"/>
        <v>1388.090702</v>
      </c>
      <c r="I49" s="136">
        <f t="shared" si="0"/>
        <v>1979.9692920000002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90" t="s">
        <v>21</v>
      </c>
      <c r="F58" s="389"/>
      <c r="G58" s="421" t="s">
        <v>121</v>
      </c>
      <c r="H58" s="422"/>
      <c r="J58" s="166"/>
    </row>
    <row r="59" spans="1:11" x14ac:dyDescent="0.2">
      <c r="A59" t="str">
        <f>IF(výpočty!$A$110=0,výpočty!A111,výpočty!A110)</f>
        <v>Nelze použít mech. C3!</v>
      </c>
      <c r="E59" s="384" t="str">
        <f>IF(výpočty!$C$110=0,výpočty!C111,výpočty!C110)</f>
        <v>Nelze použít mech. C3!</v>
      </c>
      <c r="F59" s="384"/>
      <c r="G59" s="385" t="str">
        <f>IF(výpočty!$D$110=0,výpočty!D111,výpočty!D110)</f>
        <v>Nelze použít mech. C3!</v>
      </c>
      <c r="H59" s="384"/>
      <c r="J59" s="166"/>
    </row>
    <row r="60" spans="1:11" x14ac:dyDescent="0.2">
      <c r="A60" t="str">
        <f>výpočty!A112</f>
        <v/>
      </c>
      <c r="E60" s="384" t="str">
        <f>výpočty!C112</f>
        <v/>
      </c>
      <c r="F60" s="384"/>
      <c r="G60" s="385" t="str">
        <f>výpočty!D112</f>
        <v/>
      </c>
      <c r="H60" s="384"/>
      <c r="J60" s="166"/>
    </row>
    <row r="61" spans="1:11" x14ac:dyDescent="0.2">
      <c r="A61" t="str">
        <f>výpočty!A114</f>
        <v>RB 50/CB - pro posun nahoru</v>
      </c>
      <c r="E61" s="384" t="str">
        <f>výpočty!C114</f>
        <v>bez omezení</v>
      </c>
      <c r="F61" s="384"/>
      <c r="G61" s="385" t="e">
        <f>výpočty!D114</f>
        <v>#N/A</v>
      </c>
      <c r="H61" s="384"/>
    </row>
    <row r="62" spans="1:11" x14ac:dyDescent="0.2">
      <c r="A62" t="str">
        <f>výpočty!A115</f>
        <v>RB 3B</v>
      </c>
      <c r="E62" s="384" t="str">
        <f>výpočty!C115</f>
        <v>bez omezení</v>
      </c>
      <c r="F62" s="384"/>
      <c r="G62" s="385">
        <f>výpočty!D115</f>
        <v>91.18235</v>
      </c>
      <c r="H62" s="384"/>
    </row>
    <row r="63" spans="1:11" x14ac:dyDescent="0.2">
      <c r="A63" t="str">
        <f>výpočty!A116</f>
        <v/>
      </c>
      <c r="E63" s="384" t="str">
        <f>výpočty!C116</f>
        <v/>
      </c>
      <c r="F63" s="384"/>
      <c r="G63" s="385" t="str">
        <f>výpočty!D116</f>
        <v/>
      </c>
      <c r="H63" s="384"/>
    </row>
    <row r="64" spans="1:11" x14ac:dyDescent="0.2">
      <c r="A64" t="str">
        <f>výpočty!A117</f>
        <v/>
      </c>
      <c r="E64" s="384" t="str">
        <f>výpočty!C117</f>
        <v/>
      </c>
      <c r="F64" s="384"/>
      <c r="G64" s="385" t="str">
        <f>výpočty!D117</f>
        <v/>
      </c>
      <c r="H64" s="384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21" t="s">
        <v>1322</v>
      </c>
      <c r="B2" s="621"/>
      <c r="C2" s="621"/>
      <c r="D2" s="621"/>
      <c r="E2" s="621"/>
      <c r="F2" s="621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22" t="s">
        <v>1328</v>
      </c>
      <c r="B7" s="622"/>
      <c r="C7" s="622"/>
      <c r="D7" s="622"/>
      <c r="E7" s="622"/>
      <c r="F7" s="622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21" t="s">
        <v>1315</v>
      </c>
      <c r="B10" s="621"/>
      <c r="C10" s="621"/>
      <c r="D10" s="621"/>
      <c r="E10" s="621"/>
      <c r="F10" s="621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77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1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Objednávka žaluzií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Zákazník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Název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Ulice: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Město: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IČO: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Poznámky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Sleva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Počet ks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Připravit žaluzie na míru?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Pokud vyberete ano, žaluzie bude připravena jako set, nařezaná a sestavená pro konečnou montáž (nutno ještě upravit dle potřeby některé vodící lišty).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Systém navíjení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Rozměry skříňky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výška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šířka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hloubka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Směr posuvu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systému vedení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Barevné provedení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Objed. kód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Sortiment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Množství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jednotku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Celkem bez DPH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Kód dodání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Roletový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Koncová lišta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Krycí lišta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Vodící lišty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Poplatek za přípravu setu na míru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Celkem bez DPH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buk, třešeň, bříza, javor, chrom, třešeň havana, calvados, transparentní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systému vedení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vložený na šroubování plastový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vložený na zafrézování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 xml:space="preserve">Naložený s metallic-line vedením 29mm a mech. C3 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hliník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nerez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Roletový pancíř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Koncová lišta + kluzné kolíky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Vodící lišta + rohy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Vyvažovací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Pastelové barvy - bílá, černá, šedá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hliník, nerez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pro tuto variantu lze použít následující SET: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Vyvažovací mechanizmy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Označení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Rozměr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Cena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Naložený systém s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Dozadu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šneku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S mechanikou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Vertikální (ze shora dolů)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Horizontální (zleva doprava)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Černá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Bílá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Šedá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Hliník plast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Třešeň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Javor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Bříza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Třešeň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Transparentní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Hliník šířka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Nerez šířka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omezení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nelze použít vyvažování s mechanikou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nevyhovuje žádný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nevyhovuje žádný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o rozměrech šířka-500, výška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o rozměrech šířka-500, výška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o rozměrech šířka-600, výška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o rozměrech šířka-600, výška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o rozměrech šířka-900, výška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o rozměrech šířka-900, výška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Uvedené ceny jsou bez DPH, s platností k 17.04.2026</v>
      </c>
      <c r="B83" s="181" t="str">
        <f>CONCATENATE("Uvedené ceny jsou bez DPH, s platností k ",F106)</f>
        <v>Uvedené ceny jsou bez DPH, s platností k 17.04.2026</v>
      </c>
      <c r="C83" s="181" t="str">
        <f>CONCATENATE("Uvedené ceny sú bez DPH, s platnosťou od ",F106)</f>
        <v>Uvedené ceny sú bez DPH, s platnosťou od 17.04.2026</v>
      </c>
      <c r="D83" s="181" t="str">
        <f>CONCATENATE("Podane ceny nie zawierają podatku VAT i ważne są od ",F106)</f>
        <v>Podane ceny nie zawierają podatku VAT i ważne są od 17.04.2026</v>
      </c>
      <c r="E83" s="181" t="str">
        <f>CONCATENATE("Az árak ÁFa nélül vannak megadva, hatályban ",F106,"-től")</f>
        <v>Az árak ÁFa nélül vannak megadva, hatályban 17.04.2026-től</v>
      </c>
    </row>
    <row r="84" spans="1:7" x14ac:dyDescent="0.2">
      <c r="A84" s="181" t="str">
        <f t="shared" si="1"/>
        <v>nelze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naložený s krycí lištou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vložený na šroubování kovový s krycí lištou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Ano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Malá hloubka pro navíjení!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Vyberte mechaniku C3!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Nelze použít šnek!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Nelze použít mech. C3!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Nelze použít navíjení do šneku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Lepící páska pro podlepení žaluzií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Rozměr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pro krácení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Výpis komponentů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Návod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Systém k našroubování. Jedná se o systém s hliníkovými vodícími lištami, které mají krytku identickou s dekorem použité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Naložený systém (FRAME). Vedení tohoto systému je tvořeno ze dvou dílů a to hliníkové lišty a krytky která je barevně identická s dekorem použité rolety.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Barevné náhledy jsou pouze orientační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Montážní návody jsou k dispozici na našem portále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Systém k našroubování. Vodící profily jsou pouze v nejbližší unibarvě.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26.05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2762</v>
      </c>
    </row>
    <row r="106" spans="1:7" x14ac:dyDescent="0.2">
      <c r="A106" s="181" t="str">
        <f>CONCATENATE(IF($A$1=1,B:B,IF($A$1=2,C:C,IF($A$1=3,D:D,IF($A$1=4,E:E)))),F106)</f>
        <v>Uvedené ceny jsou bez DPH, s platností k 17.04.2026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2761</v>
      </c>
    </row>
    <row r="107" spans="1:7" x14ac:dyDescent="0.2">
      <c r="A107" s="181" t="str">
        <f t="shared" si="1"/>
        <v>MJ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SAD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BM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KS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Objednávkový formulář na rolety Rehau 26.05 CZ</v>
      </c>
      <c r="B112" s="185" t="str">
        <f>CONCATENATE("Objednávkový formulář na rolety Rehau ",F105," CZ")</f>
        <v>Objednávkový formulář na rolety Rehau 26.05 CZ</v>
      </c>
      <c r="C112" s="185" t="str">
        <f>CONCATENATE("Objednávkový formulár na rolety Rehau ",F105," SK")</f>
        <v>Objednávkový formulár na rolety Rehau 26.05 SK</v>
      </c>
      <c r="D112" s="185" t="str">
        <f>CONCATENATE("Formularz zamowieniowy rolet Rehau ",F105," PL")</f>
        <v>Formularz zamowieniowy rolet Rehau 26.05 PL</v>
      </c>
      <c r="E112" s="185" t="str">
        <f>CONCATENATE("Megrendelési űrlap Rehau ",F105," redőnyökre HU")</f>
        <v>Megrendelési űrlap Rehau 26.05 redőnyökre HU</v>
      </c>
      <c r="G112"/>
    </row>
    <row r="113" spans="1:5" x14ac:dyDescent="0.2">
      <c r="A113" s="181" t="str">
        <f t="shared" si="1"/>
        <v>kontrolní vnější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vnitřní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(materiál tl.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Hliník šířka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Nerez šířka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Vždy používejte aktuální verzi formuláře, který je dostupný na našich stánkách.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 xml:space="preserve">Vyplněnou objednávku zašlete na adresu 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objednavky@demos-trade.com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Formulář obsahuje několik listů, mezi kterými je možné se přepínat ve spodní části.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 xml:space="preserve">Do formuláře zadávejte pouze vnitřní rozměr skříňky (vnější rozměr je jen pro vaši kontrolu) 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 xml:space="preserve">Pokud je některá z položek na objednávku, může být minimální odběr pouze celé balení 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Pro vertikální rolety vyšší než 500 mm, doporučujeme vždy použít vhodný typ vyvažovací mechaniky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Formulář slouží jako pomocník pro konfiguraci, pro správné fungování rolety je nutné vždy dodržovat doporučení výrobce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Kontaktní tel.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Kontaktní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Adresa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Vyplňte prosím vaše kontaktní údaje a poté klikněte na políčko objednávka žaluzií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Vyplněním kontaktních údajů vyjadřujete současně souhlas, že jste se seznámil s informacemi uvedenými níže!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Objednávkový formulář na rolety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Ve formuláři nejsou vždy přesná omezení maximálního rozměru skříňky, dodržujte proto maximální rozměry doporučené výrobcem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Hliník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Nerez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 xml:space="preserve">Maximální doporučená délka roletových profilů uvedených ve formuláři (šířka rolet. rohože) je 1200 mm 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 xml:space="preserve">Pokud ve formuláři při určitých zadaných parametrech není uvedená celková částka, jde o chybnou kombinaci (konzultujte s technickou podporou) 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(úpravu údajů můžete provést na listě úvod)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Úvod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Zářivě bílá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Hliník plast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Typy roletových profilů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Barevné provedení Zářivě bílá v profilu E9 je možné kombinovat jen s vedením Classic a TOP.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>Barevné provedení Hliník plast v profilu E4 je vhodné na Horizontální vedení v kombinaci s vedením Classic s navíjením dozadu.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Nelze kombinovat systém vedení TOP BASIC s roletovým profilem Metallic line. Nutno zvolit vedení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Barevné provedení BUK v profilu E23 již nelze kombinovat s vedením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Systém vedení Naložený s metallic-line vedením 29mm a mech. C3  je možné kombinovat jen se systémem navíjení na mechaniku C3.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Systém vedení TOP BASIC není přizpůsoben pro kombinaci s vedením do šneku. Doporučujeme zvolit verzi vedení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Maximální doporučená výška u Horizontálního posuvu v kombinaci s profilem E4 je 1900mm.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Systém navíjení na mechaniku C3 není možné kombinovat s vedením TOP BASIC bez vlastní úpravy vodícího profilu (viz list Návod). Další variantou je volba vedení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Systém navíjení na mechaniku C3 není možné kombinovat s vedením Classic, doporučujeme zvolit jiný systém navíjení.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Systém vedení Naložený s metallic-line vedením 29mm a mech. C3  doporučujeme kombinovat jen s profilem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Nelze kombinovat systém vedení TOP BASIC s roletovým profilem Metallic line. Nutno zvolit vedení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U vedení dozadu a do šneku nelze použít vedení Naložený systém vedení 29mm a mech C3. Nutno zvolit verzi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U Horizontálního vedení není možné použít mechaniku C3.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Pro výšku skříňky nad 800mm (vnitřní rozměr) je doporučeno použít mechaniku C3 (nutno zvážit i kombinaci výšky a šířky).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>Roletu s vertikálním vedením a do skříňky širší než 1164mm (vnitřní rozměry) nedoporučujeme používat. Řešením je rozdělit roletu nebo použít horizontální posuv.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U horizontálního posuvu v kombinací s roletami typu E23, E9 nebo Metallic line je maximální doporučená výška 1150mm (vnitřní rozměry). Pro vyšší verzi je nutno vybrat profil E4 v kombinaci se systémem vedení Classic.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barevné provedení Hliník nebo Nerez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(v kombinaci s plastovým vedením)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elegantí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>jen barva Hliník plast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 xml:space="preserve">kovový vzhled 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lamela je uzavřena i zevnitř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lamela je zevnitř otevřená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>plastové provedení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profily v různých barevných kombinacích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skladem design v zářivě bílé barvě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vhodné pro vysoké horizontální posuvy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Barevné provedení CALVADOS v profilu E23 již nelze kombinovat s vedením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Barevné provedení Třešeň havana v profilu E23 již nelze kombinovat s vedením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U Vertikálního posuvu s mechanikou C3 jsou doporučné rozměry korpusu: šířka 364-1164mm a výška 614-2164mm (vnitřní rozměry)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vnitřní rozměry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Naložený systém vedení (29mm). Jde o vedení  v barvě Hliníku nebo Nerez v profilu Metallic line a v kombinaci s mechanikou C3. Vodící lišty je potřeba před instalací upravit dle nákresu níže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Při použití naloženého vedení 29mm pro Metallic line pro kombinaci s C3 mechanikou je potřeba upravit vodící lišty dle nákresu  v listu Návod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Barevné provedení Bříza v profilu E23 již nelze kombinovat s vedením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Barevné provedení Třešeň v profilu E23 již nelze kombinovat s vedením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Barevné provedení Javor v profilu E23 již nelze kombinovat s vedením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Kč</v>
      </c>
      <c r="B178" t="s">
        <v>2757</v>
      </c>
      <c r="C178" t="s">
        <v>2758</v>
      </c>
      <c r="D178" t="s">
        <v>2759</v>
      </c>
      <c r="E178" t="s">
        <v>2760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7" t="s">
        <v>0</v>
      </c>
      <c r="B7" s="408"/>
      <c r="C7" s="409"/>
      <c r="D7" s="434" t="s">
        <v>2</v>
      </c>
      <c r="E7" s="434" t="s">
        <v>1</v>
      </c>
      <c r="F7" s="434" t="s">
        <v>4</v>
      </c>
      <c r="G7" s="434" t="s">
        <v>3</v>
      </c>
    </row>
    <row r="8" spans="1:7" ht="12.75" customHeight="1" x14ac:dyDescent="0.2">
      <c r="A8" s="437"/>
      <c r="B8" s="438"/>
      <c r="C8" s="439"/>
      <c r="D8" s="435"/>
      <c r="E8" s="435"/>
      <c r="F8" s="435"/>
      <c r="G8" s="435"/>
    </row>
    <row r="9" spans="1:7" ht="12.75" customHeight="1" thickBot="1" x14ac:dyDescent="0.25">
      <c r="A9" s="410"/>
      <c r="B9" s="411"/>
      <c r="C9" s="412"/>
      <c r="D9" s="436"/>
      <c r="E9" s="436"/>
      <c r="F9" s="436"/>
      <c r="G9" s="436"/>
    </row>
    <row r="10" spans="1:7" x14ac:dyDescent="0.2">
      <c r="A10" s="405" t="s">
        <v>7</v>
      </c>
      <c r="B10" s="406"/>
      <c r="C10" s="406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5" t="s">
        <v>8</v>
      </c>
      <c r="B11" s="406"/>
      <c r="C11" s="406"/>
      <c r="D11" s="8">
        <f>výpočty!I8*výpočty!G33</f>
        <v>30.731887999999998</v>
      </c>
      <c r="E11" s="9">
        <f>výpočty!I9*výpočty!G33</f>
        <v>30.731887999999998</v>
      </c>
      <c r="F11" s="9" t="e">
        <f>výpočty!I13*výpočty!I49</f>
        <v>#N/A</v>
      </c>
      <c r="G11" s="9">
        <f>výpočty!I10*výpočty!G33</f>
        <v>30.731887999999998</v>
      </c>
    </row>
    <row r="12" spans="1:7" x14ac:dyDescent="0.2">
      <c r="A12" s="405" t="s">
        <v>9</v>
      </c>
      <c r="B12" s="406"/>
      <c r="C12" s="406"/>
      <c r="D12" s="10">
        <f>výpočty!K8*výpočty!D33+výpočty!E34</f>
        <v>131.212546</v>
      </c>
      <c r="E12" s="9">
        <f>výpočty!K9*výpočty!D33+výpočty!E34</f>
        <v>131.212546</v>
      </c>
      <c r="F12" s="9" t="e">
        <f>výpočty!K13*výpočty!E49+výpočty!F48</f>
        <v>#N/A</v>
      </c>
      <c r="G12" s="9">
        <f>výpočty!K10*výpočty!D33+výpočty!E34</f>
        <v>131.212546</v>
      </c>
    </row>
    <row r="13" spans="1:7" ht="13.5" thickBot="1" x14ac:dyDescent="0.25">
      <c r="A13" s="416" t="s">
        <v>6</v>
      </c>
      <c r="B13" s="416"/>
      <c r="C13" s="417"/>
      <c r="D13" s="11">
        <f>výpočty!G8*výpočty!L33+4*výpočty!N33</f>
        <v>370.91292500000003</v>
      </c>
      <c r="E13" s="12">
        <f>výpočty!G9*výpočty!L34+4*výpočty!N34</f>
        <v>224.974065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852.44291999999996</v>
      </c>
    </row>
    <row r="14" spans="1:7" s="1" customFormat="1" ht="18.75" thickBot="1" x14ac:dyDescent="0.3">
      <c r="A14" s="413" t="s">
        <v>5</v>
      </c>
      <c r="B14" s="414"/>
      <c r="C14" s="415"/>
      <c r="D14" s="13">
        <f>SUM(D10:D13)</f>
        <v>532.85735900000009</v>
      </c>
      <c r="E14" s="13">
        <f>SUM(E10:E13)</f>
        <v>386.918499</v>
      </c>
      <c r="F14" s="13" t="e">
        <f>SUM(F10:F13)</f>
        <v>#N/A</v>
      </c>
      <c r="G14" s="13">
        <f>SUM(G10:G13)</f>
        <v>1014.387354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7" t="s">
        <v>0</v>
      </c>
      <c r="B18" s="408"/>
      <c r="C18" s="409"/>
      <c r="D18" s="434" t="s">
        <v>2</v>
      </c>
      <c r="E18" s="434" t="s">
        <v>1</v>
      </c>
      <c r="F18" s="434" t="s">
        <v>4</v>
      </c>
      <c r="G18" s="434" t="s">
        <v>3</v>
      </c>
    </row>
    <row r="19" spans="1:8" ht="12.75" customHeight="1" thickBot="1" x14ac:dyDescent="0.25">
      <c r="A19" s="410"/>
      <c r="B19" s="411"/>
      <c r="C19" s="412"/>
      <c r="D19" s="436"/>
      <c r="E19" s="436"/>
      <c r="F19" s="436"/>
      <c r="G19" s="436"/>
    </row>
    <row r="20" spans="1:8" ht="12.75" customHeight="1" x14ac:dyDescent="0.2">
      <c r="A20" s="405" t="s">
        <v>7</v>
      </c>
      <c r="B20" s="406"/>
      <c r="C20" s="406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5" t="s">
        <v>8</v>
      </c>
      <c r="B21" s="406"/>
      <c r="C21" s="406"/>
      <c r="D21" s="8">
        <f>výpočty!I8*výpočty!G34</f>
        <v>22.692900000000002</v>
      </c>
      <c r="E21" s="9">
        <f>výpočty!I9*výpočty!G34</f>
        <v>22.692900000000002</v>
      </c>
      <c r="F21" s="9">
        <f>výpočty!I13*výpočty!I48</f>
        <v>62.128398000000004</v>
      </c>
      <c r="G21" s="9">
        <f>výpočty!I10*výpočty!G34</f>
        <v>22.692900000000002</v>
      </c>
    </row>
    <row r="22" spans="1:8" x14ac:dyDescent="0.2">
      <c r="A22" s="405" t="s">
        <v>9</v>
      </c>
      <c r="B22" s="406"/>
      <c r="C22" s="406"/>
      <c r="D22" s="10">
        <f>výpočty!K8*výpočty!D34+výpočty!E34</f>
        <v>125.537256</v>
      </c>
      <c r="E22" s="9">
        <f>výpočty!K9*výpočty!D34+výpočty!E34</f>
        <v>125.537256</v>
      </c>
      <c r="F22" s="9" t="e">
        <f>výpočty!K13*výpočty!E48+výpočty!F48</f>
        <v>#N/A</v>
      </c>
      <c r="G22" s="9">
        <f>výpočty!K10*výpočty!D34+výpočty!E34</f>
        <v>125.537256</v>
      </c>
    </row>
    <row r="23" spans="1:8" ht="13.5" thickBot="1" x14ac:dyDescent="0.25">
      <c r="A23" s="416" t="s">
        <v>6</v>
      </c>
      <c r="B23" s="416"/>
      <c r="C23" s="417"/>
      <c r="D23" s="11">
        <f>výpočty!G8*výpočty!L33+4*výpočty!N33</f>
        <v>370.91292500000003</v>
      </c>
      <c r="E23" s="12">
        <f>výpočty!G9*výpočty!L34+4*výpočty!N34</f>
        <v>224.974065</v>
      </c>
      <c r="F23" s="12">
        <f>výpočty!G13*výpočty!L33+výpočty!G14*výpočty!L41+4*výpočty!N41+výpočty!L45+výpočty!G15*výpočty!L44</f>
        <v>1093.86472</v>
      </c>
      <c r="G23" s="12">
        <f>výpočty!G10*výpočty!L33+výpočty!G11*výpočty!L36+4*výpočty!N36+výpočty!G12*výpočty!L39</f>
        <v>781.23969499999998</v>
      </c>
    </row>
    <row r="24" spans="1:8" s="1" customFormat="1" ht="18.75" thickBot="1" x14ac:dyDescent="0.3">
      <c r="A24" s="413" t="s">
        <v>5</v>
      </c>
      <c r="B24" s="414"/>
      <c r="C24" s="415"/>
      <c r="D24" s="13">
        <f>SUM(D20:D23)</f>
        <v>519.14308100000005</v>
      </c>
      <c r="E24" s="14">
        <f>SUM(E20:E23)</f>
        <v>373.20422099999996</v>
      </c>
      <c r="F24" s="15" t="e">
        <f>SUM(F20:F23)</f>
        <v>#N/A</v>
      </c>
      <c r="G24" s="15">
        <f>SUM(G20:G23)</f>
        <v>929.46985099999995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7" t="s">
        <v>0</v>
      </c>
      <c r="B28" s="408"/>
      <c r="C28" s="409"/>
      <c r="D28" s="434" t="s">
        <v>2</v>
      </c>
      <c r="E28" s="434" t="s">
        <v>1</v>
      </c>
      <c r="F28" s="434" t="s">
        <v>4</v>
      </c>
      <c r="G28" s="434" t="s">
        <v>3</v>
      </c>
      <c r="H28" s="26" t="s">
        <v>4</v>
      </c>
    </row>
    <row r="29" spans="1:8" ht="12.75" customHeight="1" thickBot="1" x14ac:dyDescent="0.25">
      <c r="A29" s="410"/>
      <c r="B29" s="411"/>
      <c r="C29" s="412"/>
      <c r="D29" s="436"/>
      <c r="E29" s="436"/>
      <c r="F29" s="436"/>
      <c r="G29" s="436"/>
      <c r="H29" s="27" t="s">
        <v>436</v>
      </c>
    </row>
    <row r="30" spans="1:8" x14ac:dyDescent="0.2">
      <c r="A30" s="405" t="s">
        <v>7</v>
      </c>
      <c r="B30" s="406"/>
      <c r="C30" s="406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2.9943</v>
      </c>
      <c r="G30" s="6">
        <f>výpočty!O10*výpočty!C35+výpočty!F33*výpočty!M10</f>
        <v>0</v>
      </c>
      <c r="H30">
        <f>výpočty!O13*výpočty!C36+výpočty!F33*výpočty!M13</f>
        <v>2.9943</v>
      </c>
    </row>
    <row r="31" spans="1:8" x14ac:dyDescent="0.2">
      <c r="A31" s="405" t="s">
        <v>8</v>
      </c>
      <c r="B31" s="406"/>
      <c r="C31" s="406"/>
      <c r="D31" s="8">
        <f>výpočty!I8*výpočty!G35</f>
        <v>57.051966000000007</v>
      </c>
      <c r="E31" s="8">
        <f>výpočty!I9*výpočty!G35</f>
        <v>57.051966000000007</v>
      </c>
      <c r="F31" s="8">
        <f>výpočty!I13*výpočty!G40</f>
        <v>92.111895000000004</v>
      </c>
      <c r="G31" s="8">
        <f>výpočty!I10*výpočty!G35</f>
        <v>57.051966000000007</v>
      </c>
      <c r="H31">
        <f>výpočty!I13*výpočty!G41</f>
        <v>127.160656</v>
      </c>
    </row>
    <row r="32" spans="1:8" x14ac:dyDescent="0.2">
      <c r="A32" s="405" t="s">
        <v>9</v>
      </c>
      <c r="B32" s="406"/>
      <c r="C32" s="406"/>
      <c r="D32" s="8">
        <f>výpočty!K8*výpočty!D35+výpočty!E59</f>
        <v>130.64154100000002</v>
      </c>
      <c r="E32" s="8">
        <f>výpočty!K9*výpočty!D35+výpočty!E59</f>
        <v>130.64154100000002</v>
      </c>
      <c r="F32" s="8">
        <f>výpočty!N14*výpočty!D40+výpočty!E40</f>
        <v>130.64154100000002</v>
      </c>
      <c r="G32" s="8">
        <f>výpočty!K10*výpočty!D35+výpočty!E59</f>
        <v>130.64154100000002</v>
      </c>
      <c r="H32">
        <f>výpočty!N14*výpočty!D41+výpočty!E40</f>
        <v>159.957741</v>
      </c>
    </row>
    <row r="33" spans="1:8" ht="13.5" thickBot="1" x14ac:dyDescent="0.25">
      <c r="A33" s="416" t="s">
        <v>6</v>
      </c>
      <c r="B33" s="416"/>
      <c r="C33" s="417"/>
      <c r="D33" s="3">
        <f>výpočty!G8*výpočty!L33+4*výpočty!N33</f>
        <v>370.91292500000003</v>
      </c>
      <c r="E33" s="4">
        <f>výpočty!G9*výpočty!L34+4*výpočty!N34</f>
        <v>224.974065</v>
      </c>
      <c r="F33" s="3">
        <f>výpočty!G13*výpočty!L33+výpočty!G14*výpočty!L42+4*výpočty!N42+výpočty!L45+výpočty!G15*výpočty!L44</f>
        <v>1603.7003199999999</v>
      </c>
      <c r="G33" s="5">
        <f>výpočty!G10*výpočty!L33+výpočty!G11*výpočty!L37+4*výpočty!N37+výpočty!G12*výpočty!L39</f>
        <v>1200.397195</v>
      </c>
      <c r="H33">
        <f>výpočty!G13*výpočty!L33+výpočty!G14*výpočty!L43+4*výpočty!N43+výpočty!L45+výpočty!G15*výpočty!L44</f>
        <v>2226.17047</v>
      </c>
    </row>
    <row r="34" spans="1:8" s="1" customFormat="1" ht="18.75" thickBot="1" x14ac:dyDescent="0.3">
      <c r="A34" s="413" t="s">
        <v>5</v>
      </c>
      <c r="B34" s="414"/>
      <c r="C34" s="415"/>
      <c r="D34" s="13">
        <f>SUM(D30:D33)</f>
        <v>558.60643200000004</v>
      </c>
      <c r="E34" s="13">
        <f>SUM(E30:E33)</f>
        <v>412.66757200000001</v>
      </c>
      <c r="F34" s="13">
        <f>SUM(F30:F33)</f>
        <v>1829.448056</v>
      </c>
      <c r="G34" s="13">
        <f>SUM(G30:G33)</f>
        <v>1388.090702</v>
      </c>
      <c r="H34" s="13">
        <f>SUM(H30:H33)</f>
        <v>2516.283167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7" t="s">
        <v>0</v>
      </c>
      <c r="B38" s="408"/>
      <c r="C38" s="409"/>
      <c r="D38" s="434" t="s">
        <v>2</v>
      </c>
      <c r="E38" s="434" t="s">
        <v>1</v>
      </c>
      <c r="F38" s="440" t="s">
        <v>389</v>
      </c>
      <c r="G38" s="440" t="s">
        <v>388</v>
      </c>
      <c r="H38" s="434" t="s">
        <v>3</v>
      </c>
    </row>
    <row r="39" spans="1:8" ht="12.75" customHeight="1" thickBot="1" x14ac:dyDescent="0.25">
      <c r="A39" s="410"/>
      <c r="B39" s="411"/>
      <c r="C39" s="412"/>
      <c r="D39" s="436"/>
      <c r="E39" s="436"/>
      <c r="F39" s="441"/>
      <c r="G39" s="441"/>
      <c r="H39" s="436"/>
    </row>
    <row r="40" spans="1:8" ht="13.5" thickBot="1" x14ac:dyDescent="0.25">
      <c r="A40" s="405" t="s">
        <v>7</v>
      </c>
      <c r="B40" s="406"/>
      <c r="C40" s="406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44.914499999999997</v>
      </c>
      <c r="G40" s="19">
        <f>výpočty!O16*výpočty!C35+výpočty!F33*výpočty!M16</f>
        <v>44.914499999999997</v>
      </c>
      <c r="H40" s="19">
        <f>výpočty!O8*výpočty!C36+výpočty!F33*výpočty!M8</f>
        <v>0</v>
      </c>
    </row>
    <row r="41" spans="1:8" ht="13.5" thickBot="1" x14ac:dyDescent="0.25">
      <c r="A41" s="405" t="s">
        <v>8</v>
      </c>
      <c r="B41" s="406"/>
      <c r="C41" s="406"/>
      <c r="D41" s="8">
        <f>výpočty!I8*výpočty!G36</f>
        <v>127.160656</v>
      </c>
      <c r="E41" s="8">
        <f>výpočty!I9*výpočty!G36</f>
        <v>127.160656</v>
      </c>
      <c r="F41" s="19">
        <f>výpočty!I13*výpočty!G41</f>
        <v>127.160656</v>
      </c>
      <c r="G41" s="19">
        <f>výpočty!I13*výpočty!G40</f>
        <v>92.111895000000004</v>
      </c>
      <c r="H41" s="19">
        <f>výpočty!I8*výpočty!G36</f>
        <v>127.160656</v>
      </c>
    </row>
    <row r="42" spans="1:8" ht="13.5" thickBot="1" x14ac:dyDescent="0.25">
      <c r="A42" s="405" t="s">
        <v>9</v>
      </c>
      <c r="B42" s="406"/>
      <c r="C42" s="406"/>
      <c r="D42" s="8">
        <f>výpočty!K8*výpočty!D36+výpočty!E60</f>
        <v>159.957741</v>
      </c>
      <c r="E42" s="8">
        <f>výpočty!K9*výpočty!D36+výpočty!E60</f>
        <v>159.957741</v>
      </c>
      <c r="F42" s="19">
        <f>výpočty!N14*výpočty!D41+výpočty!E40</f>
        <v>159.957741</v>
      </c>
      <c r="G42" s="19">
        <f>výpočty!N14*výpočty!D40+výpočty!E40</f>
        <v>130.64154100000002</v>
      </c>
      <c r="H42" s="19">
        <f>výpočty!K8*výpočty!D36+výpočty!E60</f>
        <v>159.957741</v>
      </c>
    </row>
    <row r="43" spans="1:8" ht="13.5" thickBot="1" x14ac:dyDescent="0.25">
      <c r="A43" s="416" t="s">
        <v>6</v>
      </c>
      <c r="B43" s="416"/>
      <c r="C43" s="417"/>
      <c r="D43" s="3">
        <f>výpočty!G8*výpočty!L33+4*výpočty!N33</f>
        <v>370.91292500000003</v>
      </c>
      <c r="E43" s="4">
        <f>výpočty!G9*výpočty!L34+4*výpočty!N34</f>
        <v>224.974065</v>
      </c>
      <c r="F43" s="19">
        <f>výpočty!C44+výpočty!G16*výpočty!D43</f>
        <v>498.42285500000003</v>
      </c>
      <c r="G43" s="19">
        <f>výpočty!C44+výpočty!G16*výpočty!C43</f>
        <v>455.58920999999998</v>
      </c>
      <c r="H43" s="19">
        <f>výpočty!G10*výpočty!L33+výpočty!G11*výpočty!L38+4*výpočty!N37+výpočty!G12*výpočty!L39</f>
        <v>1692.8508950000003</v>
      </c>
    </row>
    <row r="44" spans="1:8" s="1" customFormat="1" ht="18.75" thickBot="1" x14ac:dyDescent="0.3">
      <c r="A44" s="413" t="s">
        <v>5</v>
      </c>
      <c r="B44" s="414"/>
      <c r="C44" s="415"/>
      <c r="D44" s="13">
        <f>SUM(D40:D43)</f>
        <v>658.03132200000005</v>
      </c>
      <c r="E44" s="13">
        <f>SUM(E40:E43)</f>
        <v>512.09246200000007</v>
      </c>
      <c r="F44" s="20">
        <f>SUM(F40:F43)</f>
        <v>830.45575200000007</v>
      </c>
      <c r="G44" s="20">
        <f>SUM(G40:G43)</f>
        <v>723.25714600000003</v>
      </c>
      <c r="H44" s="20">
        <f>SUM(H40:H43)</f>
        <v>1979.9692920000002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7" t="s">
        <v>0</v>
      </c>
      <c r="B54" s="408"/>
      <c r="C54" s="409"/>
      <c r="D54" s="434" t="s">
        <v>2</v>
      </c>
      <c r="E54" s="434" t="s">
        <v>1</v>
      </c>
      <c r="F54" s="434" t="s">
        <v>4</v>
      </c>
      <c r="G54" s="434" t="s">
        <v>3</v>
      </c>
    </row>
    <row r="55" spans="1:7" ht="12.75" customHeight="1" thickBot="1" x14ac:dyDescent="0.25">
      <c r="A55" s="410"/>
      <c r="B55" s="411"/>
      <c r="C55" s="412"/>
      <c r="D55" s="436"/>
      <c r="E55" s="436"/>
      <c r="F55" s="436"/>
      <c r="G55" s="436"/>
    </row>
    <row r="56" spans="1:7" x14ac:dyDescent="0.2">
      <c r="A56" s="405" t="s">
        <v>7</v>
      </c>
      <c r="B56" s="406"/>
      <c r="C56" s="406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5" t="s">
        <v>8</v>
      </c>
      <c r="B57" s="406"/>
      <c r="C57" s="406"/>
      <c r="D57" s="8">
        <f>výpočty!I20*výpočty!G33</f>
        <v>30.731887999999998</v>
      </c>
      <c r="E57" s="9">
        <f>výpočty!I21*výpočty!G33</f>
        <v>30.731887999999998</v>
      </c>
      <c r="F57" s="9" t="e">
        <f>výpočty!I25*výpočty!I49</f>
        <v>#N/A</v>
      </c>
      <c r="G57" s="9">
        <f>výpočty!I22*výpočty!G33</f>
        <v>30.731887999999998</v>
      </c>
    </row>
    <row r="58" spans="1:7" x14ac:dyDescent="0.2">
      <c r="A58" s="405" t="s">
        <v>9</v>
      </c>
      <c r="B58" s="406"/>
      <c r="C58" s="406"/>
      <c r="D58" s="10">
        <f>výpočty!K20*výpočty!D33+výpočty!E33</f>
        <v>82.277466000000004</v>
      </c>
      <c r="E58" s="9">
        <f>výpočty!K21*výpočty!D33+výpočty!E33</f>
        <v>82.277466000000004</v>
      </c>
      <c r="F58" s="9" t="e">
        <f>výpočty!K25*výpočty!E49+výpočty!F48</f>
        <v>#N/A</v>
      </c>
      <c r="G58" s="9">
        <f>výpočty!K22*výpočty!D33+výpočty!E33</f>
        <v>82.277466000000004</v>
      </c>
    </row>
    <row r="59" spans="1:7" ht="13.5" thickBot="1" x14ac:dyDescent="0.25">
      <c r="A59" s="416" t="s">
        <v>6</v>
      </c>
      <c r="B59" s="416"/>
      <c r="C59" s="417"/>
      <c r="D59" s="11">
        <f>výpočty!G20*výpočty!L33+4*výpočty!N33</f>
        <v>370.91292500000003</v>
      </c>
      <c r="E59" s="12">
        <f>výpočty!G21*výpočty!L34+4*výpočty!N34</f>
        <v>224.974065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852.44291999999996</v>
      </c>
    </row>
    <row r="60" spans="1:7" s="1" customFormat="1" ht="18.75" thickBot="1" x14ac:dyDescent="0.3">
      <c r="A60" s="413" t="s">
        <v>5</v>
      </c>
      <c r="B60" s="414"/>
      <c r="C60" s="415"/>
      <c r="D60" s="13">
        <f>SUM(D56:D59)</f>
        <v>483.922279</v>
      </c>
      <c r="E60" s="13">
        <f>SUM(E56:E59)</f>
        <v>337.98341900000003</v>
      </c>
      <c r="F60" s="13" t="e">
        <f>SUM(F56:F59)</f>
        <v>#N/A</v>
      </c>
      <c r="G60" s="13">
        <f>SUM(G56:G59)</f>
        <v>965.45227399999999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7" t="s">
        <v>0</v>
      </c>
      <c r="B64" s="408"/>
      <c r="C64" s="409"/>
      <c r="D64" s="434" t="s">
        <v>2</v>
      </c>
      <c r="E64" s="434" t="s">
        <v>1</v>
      </c>
      <c r="F64" s="434" t="s">
        <v>4</v>
      </c>
      <c r="G64" s="434" t="s">
        <v>3</v>
      </c>
    </row>
    <row r="65" spans="1:8" ht="12.75" customHeight="1" thickBot="1" x14ac:dyDescent="0.25">
      <c r="A65" s="410"/>
      <c r="B65" s="411"/>
      <c r="C65" s="412"/>
      <c r="D65" s="436"/>
      <c r="E65" s="436"/>
      <c r="F65" s="436"/>
      <c r="G65" s="436"/>
    </row>
    <row r="66" spans="1:8" x14ac:dyDescent="0.2">
      <c r="A66" s="405" t="s">
        <v>7</v>
      </c>
      <c r="B66" s="406"/>
      <c r="C66" s="406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5" t="s">
        <v>8</v>
      </c>
      <c r="B67" s="406"/>
      <c r="C67" s="406"/>
      <c r="D67" s="8">
        <f>výpočty!I20*výpočty!G34</f>
        <v>22.692900000000002</v>
      </c>
      <c r="E67" s="9">
        <f>výpočty!I21*výpočty!G34</f>
        <v>22.692900000000002</v>
      </c>
      <c r="F67" s="9">
        <f>výpočty!I25*výpočty!I48</f>
        <v>62.128398000000004</v>
      </c>
      <c r="G67" s="9">
        <f>výpočty!I22*výpočty!G34</f>
        <v>22.692900000000002</v>
      </c>
    </row>
    <row r="68" spans="1:8" x14ac:dyDescent="0.2">
      <c r="A68" s="405" t="s">
        <v>9</v>
      </c>
      <c r="B68" s="406"/>
      <c r="C68" s="406"/>
      <c r="D68" s="10">
        <f>výpočty!K20*výpočty!D34+výpočty!E33</f>
        <v>76.602176</v>
      </c>
      <c r="E68" s="9">
        <f>výpočty!K21*výpočty!D34+výpočty!E33</f>
        <v>76.602176</v>
      </c>
      <c r="F68" s="9" t="e">
        <f>výpočty!K25*výpočty!E48+výpočty!F48</f>
        <v>#N/A</v>
      </c>
      <c r="G68" s="9">
        <f>výpočty!K22*výpočty!D34+výpočty!E33</f>
        <v>76.602176</v>
      </c>
    </row>
    <row r="69" spans="1:8" ht="13.5" thickBot="1" x14ac:dyDescent="0.25">
      <c r="A69" s="416" t="s">
        <v>6</v>
      </c>
      <c r="B69" s="416"/>
      <c r="C69" s="417"/>
      <c r="D69" s="11">
        <f>výpočty!G20*výpočty!L33+4*výpočty!N33</f>
        <v>370.91292500000003</v>
      </c>
      <c r="E69" s="12">
        <f>výpočty!G21*výpočty!L34+4*výpočty!N34</f>
        <v>224.974065</v>
      </c>
      <c r="F69" s="12">
        <f>výpočty!G25*výpočty!L33+výpočty!G26*výpočty!L41+4*výpočty!N41+výpočty!L45+výpočty!G27*výpočty!L44</f>
        <v>1093.86472</v>
      </c>
      <c r="G69" s="12">
        <f>výpočty!G22*výpočty!L33+výpočty!G23*výpočty!L36+4*výpočty!N36+výpočty!G24*výpočty!L39</f>
        <v>781.23969499999998</v>
      </c>
    </row>
    <row r="70" spans="1:8" s="1" customFormat="1" ht="18.75" thickBot="1" x14ac:dyDescent="0.3">
      <c r="A70" s="413" t="s">
        <v>5</v>
      </c>
      <c r="B70" s="414"/>
      <c r="C70" s="415"/>
      <c r="D70" s="13">
        <f>SUM(D66:D69)</f>
        <v>470.20800100000002</v>
      </c>
      <c r="E70" s="14">
        <f>SUM(E66:E69)</f>
        <v>324.26914099999999</v>
      </c>
      <c r="F70" s="15" t="e">
        <f>SUM(F66:F69)</f>
        <v>#N/A</v>
      </c>
      <c r="G70" s="15">
        <f>SUM(G66:G69)</f>
        <v>880.53477099999998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7" t="s">
        <v>0</v>
      </c>
      <c r="B74" s="408"/>
      <c r="C74" s="409"/>
      <c r="D74" s="434" t="s">
        <v>2</v>
      </c>
      <c r="E74" s="434" t="s">
        <v>1</v>
      </c>
      <c r="F74" s="434" t="s">
        <v>4</v>
      </c>
      <c r="G74" s="434" t="s">
        <v>3</v>
      </c>
      <c r="H74" s="26" t="s">
        <v>4</v>
      </c>
    </row>
    <row r="75" spans="1:8" ht="12.75" customHeight="1" thickBot="1" x14ac:dyDescent="0.25">
      <c r="A75" s="410"/>
      <c r="B75" s="411"/>
      <c r="C75" s="412"/>
      <c r="D75" s="436"/>
      <c r="E75" s="436"/>
      <c r="F75" s="436"/>
      <c r="G75" s="436"/>
      <c r="H75" s="27" t="s">
        <v>436</v>
      </c>
    </row>
    <row r="76" spans="1:8" x14ac:dyDescent="0.2">
      <c r="A76" s="405" t="s">
        <v>7</v>
      </c>
      <c r="B76" s="406"/>
      <c r="C76" s="406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2.9943</v>
      </c>
      <c r="G76" s="6">
        <f>výpočty!O22*výpočty!C35+výpočty!F33*výpočty!M22</f>
        <v>0</v>
      </c>
      <c r="H76">
        <f>výpočty!O25*výpočty!C36+výpočty!F33*výpočty!M25</f>
        <v>2.9943</v>
      </c>
    </row>
    <row r="77" spans="1:8" x14ac:dyDescent="0.2">
      <c r="A77" s="405" t="s">
        <v>8</v>
      </c>
      <c r="B77" s="406"/>
      <c r="C77" s="406"/>
      <c r="D77" s="8">
        <f>výpočty!I20*výpočty!G35</f>
        <v>57.051966000000007</v>
      </c>
      <c r="E77" s="8">
        <f>výpočty!I21*výpočty!G35</f>
        <v>57.051966000000007</v>
      </c>
      <c r="F77" s="8">
        <f>výpočty!I25*výpočty!G40</f>
        <v>92.111895000000004</v>
      </c>
      <c r="G77" s="8">
        <f>výpočty!I22*výpočty!G35</f>
        <v>57.051966000000007</v>
      </c>
      <c r="H77">
        <f>výpočty!I25*výpočty!G41</f>
        <v>127.160656</v>
      </c>
    </row>
    <row r="78" spans="1:8" x14ac:dyDescent="0.2">
      <c r="A78" s="405" t="s">
        <v>9</v>
      </c>
      <c r="B78" s="406"/>
      <c r="C78" s="406"/>
      <c r="D78" s="8">
        <f>výpočty!K20*výpočty!D35+výpočty!E59</f>
        <v>130.64154100000002</v>
      </c>
      <c r="E78" s="8">
        <f>výpočty!K21*výpočty!D35+výpočty!E59</f>
        <v>130.64154100000002</v>
      </c>
      <c r="F78" s="8">
        <f>výpočty!N26*výpočty!D40+výpočty!E40</f>
        <v>130.64154100000002</v>
      </c>
      <c r="G78" s="8">
        <f>výpočty!K22*výpočty!D35+výpočty!E59</f>
        <v>130.64154100000002</v>
      </c>
      <c r="H78">
        <f>výpočty!N26*výpočty!D41+výpočty!E40</f>
        <v>159.957741</v>
      </c>
    </row>
    <row r="79" spans="1:8" ht="13.5" thickBot="1" x14ac:dyDescent="0.25">
      <c r="A79" s="416" t="s">
        <v>6</v>
      </c>
      <c r="B79" s="416"/>
      <c r="C79" s="417"/>
      <c r="D79" s="3">
        <f>výpočty!G20*výpočty!L33+4*výpočty!N33</f>
        <v>370.91292500000003</v>
      </c>
      <c r="E79" s="4">
        <f>výpočty!G21*výpočty!L34+4*výpočty!N34</f>
        <v>224.974065</v>
      </c>
      <c r="F79" s="3">
        <f>výpočty!G25*výpočty!L33+výpočty!G26*výpočty!L42+4*výpočty!N42+výpočty!L45+výpočty!G27*výpočty!L44</f>
        <v>1603.7003199999999</v>
      </c>
      <c r="G79" s="5">
        <f>výpočty!G22*výpočty!L33+výpočty!G23*výpočty!L37+4*výpočty!N37+výpočty!G24*výpočty!L39</f>
        <v>1200.397195</v>
      </c>
      <c r="H79">
        <f>výpočty!G25*výpočty!L33+výpočty!G26*výpočty!L43+4*výpočty!N42+výpočty!L45+výpočty!G27*výpočty!L44</f>
        <v>2226.17047</v>
      </c>
    </row>
    <row r="80" spans="1:8" s="1" customFormat="1" ht="18.75" thickBot="1" x14ac:dyDescent="0.3">
      <c r="A80" s="413" t="s">
        <v>5</v>
      </c>
      <c r="B80" s="414"/>
      <c r="C80" s="415"/>
      <c r="D80" s="13">
        <f>SUM(D76:D79)</f>
        <v>558.60643200000004</v>
      </c>
      <c r="E80" s="13">
        <f>SUM(E76:E79)</f>
        <v>412.66757200000001</v>
      </c>
      <c r="F80" s="13">
        <f>SUM(F76:F79)</f>
        <v>1829.448056</v>
      </c>
      <c r="G80" s="13">
        <f>SUM(G76:G79)</f>
        <v>1388.090702</v>
      </c>
      <c r="H80" s="13">
        <f>SUM(H76:H79)</f>
        <v>2516.283167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7" t="s">
        <v>0</v>
      </c>
      <c r="B84" s="408"/>
      <c r="C84" s="409"/>
      <c r="D84" s="434" t="s">
        <v>2</v>
      </c>
      <c r="E84" s="434" t="s">
        <v>1</v>
      </c>
      <c r="F84" s="440" t="s">
        <v>389</v>
      </c>
      <c r="G84" s="440" t="s">
        <v>388</v>
      </c>
      <c r="H84" s="434" t="s">
        <v>3</v>
      </c>
    </row>
    <row r="85" spans="1:8" ht="12.75" customHeight="1" thickBot="1" x14ac:dyDescent="0.25">
      <c r="A85" s="410"/>
      <c r="B85" s="411"/>
      <c r="C85" s="412"/>
      <c r="D85" s="436"/>
      <c r="E85" s="436"/>
      <c r="F85" s="441"/>
      <c r="G85" s="441"/>
      <c r="H85" s="436"/>
    </row>
    <row r="86" spans="1:8" ht="13.5" thickBot="1" x14ac:dyDescent="0.25">
      <c r="A86" s="405" t="s">
        <v>7</v>
      </c>
      <c r="B86" s="406"/>
      <c r="C86" s="406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2.9943</v>
      </c>
      <c r="G86" s="19">
        <f>výpočty!O25*výpočty!C35+výpočty!F33*výpočty!M25</f>
        <v>2.9943</v>
      </c>
      <c r="H86" s="19">
        <f>výpočty!O20*výpočty!C36+výpočty!F33*výpočty!M20</f>
        <v>0</v>
      </c>
    </row>
    <row r="87" spans="1:8" ht="13.5" thickBot="1" x14ac:dyDescent="0.25">
      <c r="A87" s="405" t="s">
        <v>8</v>
      </c>
      <c r="B87" s="406"/>
      <c r="C87" s="406"/>
      <c r="D87" s="8">
        <f>výpočty!I20*výpočty!G36</f>
        <v>127.160656</v>
      </c>
      <c r="E87" s="8">
        <f>výpočty!I21*výpočty!G36</f>
        <v>127.160656</v>
      </c>
      <c r="F87" s="19">
        <f>výpočty!I25*výpočty!G41</f>
        <v>127.160656</v>
      </c>
      <c r="G87" s="19">
        <f>výpočty!I25*výpočty!G40</f>
        <v>92.111895000000004</v>
      </c>
      <c r="H87" s="19">
        <f>výpočty!I20*výpočty!G36</f>
        <v>127.160656</v>
      </c>
    </row>
    <row r="88" spans="1:8" ht="13.5" thickBot="1" x14ac:dyDescent="0.25">
      <c r="A88" s="405" t="s">
        <v>9</v>
      </c>
      <c r="B88" s="406"/>
      <c r="C88" s="406"/>
      <c r="D88" s="8">
        <f>výpočty!K20*výpočty!D36+výpočty!E60</f>
        <v>159.957741</v>
      </c>
      <c r="E88" s="8">
        <f>výpočty!K21*výpočty!D36+výpočty!E60</f>
        <v>159.957741</v>
      </c>
      <c r="F88" s="19">
        <f>výpočty!N26*výpočty!D41+výpočty!E40</f>
        <v>159.957741</v>
      </c>
      <c r="G88" s="19">
        <f>výpočty!N26*výpočty!D40+výpočty!E40</f>
        <v>130.64154100000002</v>
      </c>
      <c r="H88" s="19">
        <f>výpočty!K20*výpočty!D36+výpočty!E60</f>
        <v>159.957741</v>
      </c>
    </row>
    <row r="89" spans="1:8" ht="13.5" thickBot="1" x14ac:dyDescent="0.25">
      <c r="A89" s="416" t="s">
        <v>6</v>
      </c>
      <c r="B89" s="416"/>
      <c r="C89" s="417"/>
      <c r="D89" s="3">
        <f>výpočty!G20*výpočty!L33+4*výpočty!N33</f>
        <v>370.91292500000003</v>
      </c>
      <c r="E89" s="4">
        <f>výpočty!G21*výpočty!L34+4*výpočty!N34</f>
        <v>224.974065</v>
      </c>
      <c r="F89" s="19">
        <f>výpočty!G25*výpočty!L33+4*výpočty!N42+výpočty!C44+výpočty!G27*výpočty!D43</f>
        <v>885.55942000000005</v>
      </c>
      <c r="G89" s="19">
        <f>výpočty!G25*výpočty!L33+4*výpočty!N42+výpočty!C44+výpočty!G27*výpočty!C43</f>
        <v>842.72577500000011</v>
      </c>
      <c r="H89" s="19">
        <f>výpočty!G22*výpočty!L33+výpočty!G23*výpočty!L38+4*výpočty!N37+výpočty!G24*výpočty!L39</f>
        <v>1692.8508950000003</v>
      </c>
    </row>
    <row r="90" spans="1:8" s="1" customFormat="1" ht="18.75" thickBot="1" x14ac:dyDescent="0.3">
      <c r="A90" s="413" t="s">
        <v>5</v>
      </c>
      <c r="B90" s="414"/>
      <c r="C90" s="415"/>
      <c r="D90" s="13">
        <f>SUM(D86:D89)</f>
        <v>658.03132200000005</v>
      </c>
      <c r="E90" s="13">
        <f>SUM(E86:E89)</f>
        <v>512.09246200000007</v>
      </c>
      <c r="F90" s="20">
        <f>SUM(F86:F89)</f>
        <v>1175.6721170000001</v>
      </c>
      <c r="G90" s="20">
        <f>SUM(G86:G89)</f>
        <v>1068.4735110000001</v>
      </c>
      <c r="H90" s="20">
        <f>SUM(H86:H89)</f>
        <v>1979.9692920000002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52" t="str">
        <f>CONCATENATE(Překlady!$A$106,"/",Překlady!$A$105)</f>
        <v>Uvedené ceny jsou bez DPH, s platností k 17.04.2026/Ver. 26.05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4"/>
    </row>
    <row r="3" spans="2:31" x14ac:dyDescent="0.25">
      <c r="B3" s="455" t="str">
        <f>Překlady!$A$131</f>
        <v>Objednávkový formulář na rolety Rehau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7"/>
      <c r="Z3" s="457"/>
      <c r="AA3" s="457"/>
      <c r="AB3" s="457"/>
      <c r="AC3" s="457"/>
      <c r="AD3" s="457"/>
      <c r="AE3" s="458"/>
    </row>
    <row r="4" spans="2:31" x14ac:dyDescent="0.25">
      <c r="B4" s="455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7"/>
      <c r="Z4" s="457"/>
      <c r="AA4" s="457"/>
      <c r="AB4" s="457"/>
      <c r="AC4" s="457"/>
      <c r="AD4" s="457"/>
      <c r="AE4" s="458"/>
    </row>
    <row r="5" spans="2:31" x14ac:dyDescent="0.25">
      <c r="B5" s="455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7"/>
      <c r="Z5" s="457"/>
      <c r="AA5" s="457"/>
      <c r="AB5" s="457"/>
      <c r="AC5" s="457"/>
      <c r="AD5" s="457"/>
      <c r="AE5" s="458"/>
    </row>
    <row r="6" spans="2:31" x14ac:dyDescent="0.25">
      <c r="B6" s="455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7"/>
      <c r="Z6" s="457"/>
      <c r="AA6" s="457"/>
      <c r="AB6" s="457"/>
      <c r="AC6" s="457"/>
      <c r="AD6" s="457"/>
      <c r="AE6" s="458"/>
    </row>
    <row r="7" spans="2:31" x14ac:dyDescent="0.25">
      <c r="B7" s="455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9"/>
      <c r="Z7" s="459"/>
      <c r="AA7" s="459"/>
      <c r="AB7" s="459"/>
      <c r="AC7" s="459"/>
      <c r="AD7" s="459"/>
      <c r="AE7" s="460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61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3"/>
    </row>
    <row r="10" spans="2:31" ht="5.25" customHeight="1" x14ac:dyDescent="0.25">
      <c r="B10" s="461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3"/>
    </row>
    <row r="11" spans="2:31" ht="18.75" x14ac:dyDescent="0.3">
      <c r="B11" s="464" t="str">
        <f>Překlady!A129</f>
        <v>Vyplňte prosím vaše kontaktní údaje a poté klikněte na políčko objednávka žaluzií</v>
      </c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6"/>
    </row>
    <row r="12" spans="2:31" ht="18.75" x14ac:dyDescent="0.3">
      <c r="B12" s="467" t="str">
        <f>Překlady!$A$130</f>
        <v>Vyplněním kontaktních údajů vyjadřujete současně souhlas, že jste se seznámil s informacemi uvedenými níže!</v>
      </c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9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8" t="str">
        <f>Překlady!$A$4</f>
        <v>Název</v>
      </c>
      <c r="C14" s="479"/>
      <c r="D14" s="479"/>
      <c r="E14" s="479"/>
      <c r="F14" s="479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1"/>
      <c r="AA14" s="269"/>
      <c r="AB14" s="484" t="str">
        <f>Překlady!A2</f>
        <v>Objednávka žaluzií</v>
      </c>
      <c r="AC14" s="485"/>
      <c r="AD14" s="485"/>
      <c r="AE14" s="486"/>
    </row>
    <row r="15" spans="2:31" ht="18.75" customHeight="1" x14ac:dyDescent="0.25">
      <c r="B15" s="482" t="str">
        <f>Překlady!$A$128</f>
        <v>Adresa</v>
      </c>
      <c r="C15" s="483"/>
      <c r="D15" s="483"/>
      <c r="E15" s="483"/>
      <c r="F15" s="483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3"/>
      <c r="AA15" s="269"/>
      <c r="AB15" s="487"/>
      <c r="AC15" s="488"/>
      <c r="AD15" s="488"/>
      <c r="AE15" s="489"/>
    </row>
    <row r="16" spans="2:31" ht="18.75" customHeight="1" x14ac:dyDescent="0.25">
      <c r="B16" s="470" t="str">
        <f>Překlady!$A$7</f>
        <v>IČO:</v>
      </c>
      <c r="C16" s="471"/>
      <c r="D16" s="471"/>
      <c r="E16" s="471"/>
      <c r="F16" s="471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3"/>
      <c r="AA16" s="269"/>
      <c r="AB16" s="487"/>
      <c r="AC16" s="488"/>
      <c r="AD16" s="488"/>
      <c r="AE16" s="489"/>
    </row>
    <row r="17" spans="2:31" ht="18.75" customHeight="1" x14ac:dyDescent="0.25">
      <c r="B17" s="470" t="str">
        <f>Překlady!A126</f>
        <v>Kontaktní tel.</v>
      </c>
      <c r="C17" s="471"/>
      <c r="D17" s="471"/>
      <c r="E17" s="471"/>
      <c r="F17" s="471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3"/>
      <c r="AA17" s="269"/>
      <c r="AB17" s="487"/>
      <c r="AC17" s="488"/>
      <c r="AD17" s="488"/>
      <c r="AE17" s="489"/>
    </row>
    <row r="18" spans="2:31" ht="18.75" customHeight="1" x14ac:dyDescent="0.25">
      <c r="B18" s="474" t="str">
        <f>Překlady!A127</f>
        <v>Kontaktní e-mail</v>
      </c>
      <c r="C18" s="475"/>
      <c r="D18" s="475"/>
      <c r="E18" s="475"/>
      <c r="F18" s="475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7"/>
      <c r="AA18" s="269"/>
      <c r="AB18" s="490"/>
      <c r="AC18" s="491"/>
      <c r="AD18" s="491"/>
      <c r="AE18" s="492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4" t="str">
        <f>CONCATENATE(Překlady!A119," ",Překlady!A120)</f>
        <v>Vyplněnou objednávku zašlete na adresu  objednavky@demos-trade.com</v>
      </c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5"/>
    </row>
    <row r="22" spans="2:31" ht="16.5" customHeight="1" x14ac:dyDescent="0.25">
      <c r="B22" s="282">
        <v>2</v>
      </c>
      <c r="C22" s="442" t="str">
        <f>Překlady!$A$122</f>
        <v xml:space="preserve">Do formuláře zadávejte pouze vnitřní rozměr skříňky (vnější rozměr je jen pro vaši kontrolu) </v>
      </c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3"/>
    </row>
    <row r="23" spans="2:31" ht="16.5" customHeight="1" x14ac:dyDescent="0.25">
      <c r="B23" s="282">
        <v>3</v>
      </c>
      <c r="C23" s="442" t="str">
        <f>Překlady!$A$123</f>
        <v xml:space="preserve">Pokud je některá z položek na objednávku, může být minimální odběr pouze celé balení </v>
      </c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3"/>
    </row>
    <row r="24" spans="2:31" ht="16.5" customHeight="1" x14ac:dyDescent="0.25">
      <c r="B24" s="282">
        <v>4</v>
      </c>
      <c r="C24" s="442" t="str">
        <f>Překlady!$A$125</f>
        <v>Formulář slouží jako pomocník pro konfiguraci, pro správné fungování rolety je nutné vždy dodržovat doporučení výrobce (Rehau)</v>
      </c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3"/>
    </row>
    <row r="25" spans="2:31" ht="16.5" customHeight="1" x14ac:dyDescent="0.25">
      <c r="B25" s="282">
        <v>5</v>
      </c>
      <c r="C25" s="442" t="str">
        <f>Překlady!$A$124</f>
        <v>Pro vertikální rolety vyšší než 500 mm, doporučujeme vždy použít vhodný typ vyvažovací mechaniky (C3, C6, C8, Caddy)</v>
      </c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3"/>
    </row>
    <row r="26" spans="2:31" ht="30" customHeight="1" x14ac:dyDescent="0.25">
      <c r="B26" s="282">
        <v>6</v>
      </c>
      <c r="C26" s="442" t="str">
        <f>Překlady!$A$174</f>
        <v>Při použití naloženého vedení 29mm pro Metallic line pro kombinaci s C3 mechanikou je potřeba upravit vodící lišty dle nákresu  v listu Návod</v>
      </c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3"/>
    </row>
    <row r="27" spans="2:31" ht="30" customHeight="1" x14ac:dyDescent="0.25">
      <c r="B27" s="282">
        <v>7</v>
      </c>
      <c r="C27" s="442" t="str">
        <f>Překlady!$A$132</f>
        <v>Ve formuláři nejsou vždy přesná omezení maximálního rozměru skříňky, dodržujte proto maximální rozměry doporučené výrobcem (Rehau)</v>
      </c>
      <c r="D27" s="442"/>
      <c r="E27" s="442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  <c r="AC27" s="442"/>
      <c r="AD27" s="442"/>
      <c r="AE27" s="443"/>
    </row>
    <row r="28" spans="2:31" ht="16.5" customHeight="1" x14ac:dyDescent="0.25">
      <c r="B28" s="282">
        <v>8</v>
      </c>
      <c r="C28" s="449" t="str">
        <f>Překlady!$A$135</f>
        <v xml:space="preserve">Maximální doporučená délka roletových profilů uvedených ve formuláři (šířka rolet. rohože) je 1200 mm </v>
      </c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51"/>
    </row>
    <row r="29" spans="2:31" ht="16.5" customHeight="1" x14ac:dyDescent="0.25">
      <c r="B29" s="282">
        <v>9</v>
      </c>
      <c r="C29" s="442" t="str">
        <f>Překlady!$A$103</f>
        <v>Montážní návody jsou k dispozici na našem portále www.demos24plus.com</v>
      </c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3"/>
    </row>
    <row r="30" spans="2:31" ht="16.5" customHeight="1" x14ac:dyDescent="0.25">
      <c r="B30" s="282">
        <v>10</v>
      </c>
      <c r="C30" s="442" t="str">
        <f>Překlady!$A$121</f>
        <v>Formulář obsahuje několik listů, mezi kterými je možné se přepínat ve spodní části.</v>
      </c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3"/>
    </row>
    <row r="31" spans="2:31" ht="16.5" customHeight="1" x14ac:dyDescent="0.25">
      <c r="B31" s="282">
        <v>11</v>
      </c>
      <c r="C31" s="442" t="str">
        <f>Překlady!$A$118</f>
        <v>Vždy používejte aktuální verzi formuláře, který je dostupný na našich stánkách.</v>
      </c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  <c r="AE31" s="443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6" t="s">
        <v>1788</v>
      </c>
      <c r="Z32" s="447"/>
      <c r="AA32" s="447"/>
      <c r="AB32" s="447"/>
      <c r="AC32" s="447"/>
      <c r="AD32" s="447"/>
      <c r="AE32" s="448"/>
    </row>
    <row r="33" spans="32:33" x14ac:dyDescent="0.25">
      <c r="AF33" s="380"/>
    </row>
    <row r="34" spans="32:33" hidden="1" x14ac:dyDescent="0.25">
      <c r="AG34" s="379">
        <v>1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38" t="str">
        <f>Překlady!$A$2</f>
        <v>Objednávka žaluzií</v>
      </c>
      <c r="D2" s="539"/>
      <c r="E2" s="539"/>
      <c r="F2" s="539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0"/>
      <c r="D3" s="541"/>
      <c r="E3" s="541"/>
      <c r="F3" s="541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>Zákazník</v>
      </c>
      <c r="D6" s="585"/>
      <c r="E6" s="585"/>
      <c r="F6" s="585"/>
      <c r="G6" s="211"/>
      <c r="I6" s="542" t="str">
        <f>Překlady!$A$15</f>
        <v>Rozměry skříňky</v>
      </c>
      <c r="J6" s="542"/>
      <c r="K6" s="542"/>
      <c r="L6" s="542"/>
      <c r="M6" s="549" t="str">
        <f>Překlady!$A$114</f>
        <v>vnitřní</v>
      </c>
      <c r="N6" s="549" t="str">
        <f>Překlady!$A$113</f>
        <v>kontrolní vnější</v>
      </c>
      <c r="O6" s="550"/>
    </row>
    <row r="7" spans="3:21" ht="15" customHeight="1" x14ac:dyDescent="0.2">
      <c r="C7" s="572" t="str">
        <f>Překlady!$A$137</f>
        <v>(úpravu údajů můžete provést na listě úvod)</v>
      </c>
      <c r="D7" s="573"/>
      <c r="E7" s="573"/>
      <c r="F7" s="573"/>
      <c r="G7" s="300"/>
      <c r="H7" s="221"/>
      <c r="I7" s="542"/>
      <c r="J7" s="542"/>
      <c r="K7" s="542"/>
      <c r="L7" s="542"/>
      <c r="M7" s="549"/>
      <c r="N7" s="547" t="str">
        <f>Překlady!$A$115</f>
        <v>(materiál tl. 18 mm)</v>
      </c>
      <c r="O7" s="548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Název</v>
      </c>
      <c r="D9" s="544">
        <f>Úvod!G14</f>
        <v>0</v>
      </c>
      <c r="E9" s="545"/>
      <c r="F9" s="546"/>
      <c r="G9" s="221"/>
      <c r="H9" s="221"/>
      <c r="I9" s="586" t="str">
        <f>Překlady!$A$16</f>
        <v>výška (mm):</v>
      </c>
      <c r="J9" s="586"/>
      <c r="K9" s="586"/>
      <c r="L9" s="586"/>
      <c r="M9" s="250"/>
      <c r="N9" s="551">
        <f>M9+36</f>
        <v>36</v>
      </c>
      <c r="O9" s="552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Adresa</v>
      </c>
      <c r="D11" s="544">
        <f>Úvod!G15</f>
        <v>0</v>
      </c>
      <c r="E11" s="545"/>
      <c r="F11" s="546"/>
      <c r="G11" s="221"/>
      <c r="H11" s="221"/>
      <c r="I11" s="586" t="str">
        <f>Překlady!$A$17</f>
        <v>šířka (mm):</v>
      </c>
      <c r="J11" s="586"/>
      <c r="K11" s="586"/>
      <c r="L11" s="586"/>
      <c r="M11" s="250"/>
      <c r="N11" s="551">
        <f>M11+36</f>
        <v>36</v>
      </c>
      <c r="O11" s="552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IČO:</v>
      </c>
      <c r="D13" s="544">
        <f>Úvod!G16</f>
        <v>0</v>
      </c>
      <c r="E13" s="545"/>
      <c r="F13" s="546"/>
      <c r="G13" s="221"/>
      <c r="H13" s="221"/>
      <c r="I13" s="586" t="str">
        <f>IF(T13&lt;Q13,Překlady!A89,Překlady!$A$18)</f>
        <v>hloubka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74">
        <f>M13</f>
        <v>0</v>
      </c>
      <c r="U13" s="574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Kontaktní tel.</v>
      </c>
      <c r="D15" s="544">
        <f>Úvod!G17</f>
        <v>0</v>
      </c>
      <c r="E15" s="545"/>
      <c r="F15" s="546"/>
      <c r="G15" s="221"/>
      <c r="H15" s="221"/>
      <c r="I15" s="542" t="str">
        <f>Překlady!$A$19</f>
        <v>Směr posuvu</v>
      </c>
      <c r="J15" s="542"/>
      <c r="K15" s="542"/>
      <c r="L15" s="542"/>
      <c r="M15" s="542"/>
      <c r="N15" s="542"/>
      <c r="O15" s="543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Kontaktní e-mail</v>
      </c>
      <c r="D17" s="544">
        <f>Úvod!G18</f>
        <v>0</v>
      </c>
      <c r="E17" s="545"/>
      <c r="F17" s="546"/>
      <c r="G17" s="221"/>
      <c r="H17" s="221"/>
      <c r="I17" s="566"/>
      <c r="J17" s="566"/>
      <c r="K17" s="556"/>
      <c r="L17" s="556"/>
      <c r="M17" s="556"/>
      <c r="N17" s="556"/>
      <c r="O17" s="557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42" t="str">
        <f>Překlady!$A$20</f>
        <v>Typ systému vedení</v>
      </c>
      <c r="J19" s="542"/>
      <c r="K19" s="542"/>
      <c r="L19" s="542"/>
      <c r="M19" s="542"/>
      <c r="N19" s="542"/>
      <c r="O19" s="543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Sleva</v>
      </c>
      <c r="D21" s="231">
        <v>0</v>
      </c>
      <c r="E21" s="245" t="str">
        <f>Překlady!$A$11</f>
        <v>Počet ks</v>
      </c>
      <c r="F21" s="231"/>
      <c r="G21" s="301"/>
      <c r="H21" s="221"/>
      <c r="I21" s="555"/>
      <c r="J21" s="555"/>
      <c r="K21" s="556"/>
      <c r="L21" s="556"/>
      <c r="M21" s="556"/>
      <c r="N21" s="556"/>
      <c r="O21" s="557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3" t="str">
        <f>Překlady!$A$12</f>
        <v>Připravit žaluzie na míru?</v>
      </c>
      <c r="D23" s="554"/>
      <c r="E23" s="590"/>
      <c r="F23" s="591"/>
      <c r="G23" s="288"/>
      <c r="H23" s="221"/>
      <c r="I23" s="542" t="str">
        <f>Překlady!$A$21</f>
        <v>Barevné provedení</v>
      </c>
      <c r="J23" s="542"/>
      <c r="K23" s="542"/>
      <c r="L23" s="542"/>
      <c r="M23" s="542"/>
      <c r="N23" s="542"/>
      <c r="O23" s="543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3" t="str">
        <f>IF(VEDENI=5,IF(NAVIJENI&lt;3,Překlady!A90,Překlady!A14),Překlady!A14)</f>
        <v>Systém navíjení</v>
      </c>
      <c r="D25" s="554"/>
      <c r="E25" s="590"/>
      <c r="F25" s="591"/>
      <c r="G25" s="288"/>
      <c r="H25" s="221"/>
      <c r="I25" s="567"/>
      <c r="J25" s="567"/>
      <c r="K25" s="517"/>
      <c r="L25" s="517"/>
      <c r="M25" s="517"/>
      <c r="N25" s="517"/>
      <c r="O25" s="568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521" t="str">
        <f>IF(VLOOKUP(CHYBY!$Q$6,CHYBY!$L:$N,3,FALSE)=1,"",TRIM(CONCATENATE(CHYBY!U11," ",CHYBY!U12," ",CHYBY!U13," ",CHYBY!U14," ",CHYBY!U15)))</f>
        <v/>
      </c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3"/>
    </row>
    <row r="28" spans="1:20" ht="45" customHeight="1" x14ac:dyDescent="0.2">
      <c r="C28" s="521" t="str">
        <f>VLOOKUP(CHYBY!$Q$6,CHYBY!L:M,2,FALSE)</f>
        <v/>
      </c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3"/>
    </row>
    <row r="29" spans="1:20" x14ac:dyDescent="0.2">
      <c r="C29" s="560" t="str">
        <f>Překlady!$A$22</f>
        <v>Objed. kód</v>
      </c>
      <c r="D29" s="562" t="str">
        <f>Překlady!$A$23</f>
        <v>Sortiment</v>
      </c>
      <c r="E29" s="563"/>
      <c r="F29" s="563"/>
      <c r="G29" s="564"/>
      <c r="H29" s="562" t="str">
        <f>Překlady!$A$24</f>
        <v>Množství</v>
      </c>
      <c r="I29" s="563"/>
      <c r="J29" s="535" t="str">
        <f>Překlady!$A$107</f>
        <v>MJ</v>
      </c>
      <c r="K29" s="558" t="str">
        <f>Překlady!$A$25</f>
        <v>Cena za jednotku</v>
      </c>
      <c r="L29" s="563"/>
      <c r="M29" s="558" t="str">
        <f>Překlady!$A$26</f>
        <v>Celkem bez DPH</v>
      </c>
      <c r="N29" s="558" t="str">
        <f>Překlady!$A$27</f>
        <v>Kód dodání</v>
      </c>
      <c r="O29" s="569" t="s">
        <v>1520</v>
      </c>
    </row>
    <row r="30" spans="1:20" x14ac:dyDescent="0.2">
      <c r="C30" s="561"/>
      <c r="D30" s="559"/>
      <c r="E30" s="559"/>
      <c r="F30" s="559"/>
      <c r="G30" s="565"/>
      <c r="H30" s="559"/>
      <c r="I30" s="559"/>
      <c r="J30" s="536"/>
      <c r="K30" s="559"/>
      <c r="L30" s="559"/>
      <c r="M30" s="559"/>
      <c r="N30" s="571"/>
      <c r="O30" s="570"/>
      <c r="Q30" s="205" t="s">
        <v>21</v>
      </c>
      <c r="R30" s="205" t="s">
        <v>1935</v>
      </c>
    </row>
    <row r="31" spans="1:20" ht="15.75" customHeight="1" x14ac:dyDescent="0.2">
      <c r="C31" s="532" t="str">
        <f>Překlady!$A$28</f>
        <v>Roletový profil</v>
      </c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4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0" t="str">
        <f>IF(VLOOKUP(CHYBY!$Q$6,CHYBY!$L:$N,3,FALSE)=1,"",IF(AND(VEDENI=3,BARVA=5),Překlady!A84,IF(P32=0,výpočty!AO5,CONCATENATE(výpočty!AO5," (X",P32,")"))))</f>
        <v>Roletový profil E23 černý (X14)</v>
      </c>
      <c r="E32" s="500"/>
      <c r="F32" s="500"/>
      <c r="G32" s="500"/>
      <c r="H32" s="529">
        <f>IF(VLOOKUP(CHYBY!$Q$6,CHYBY!L:N,3,FALSE)=1,"",IF(výpočty!S26=2,0,
IF(SMER=1,výpočty!AR5,výpočty!AR6)))</f>
        <v>0</v>
      </c>
      <c r="I32" s="529"/>
      <c r="J32" s="275" t="str">
        <f>IF(VLOOKUP(CHYBY!$Q$6,CHYBY!$L:$N,3,FALSE)=1,"",IF(výpočty!S26=2,0,VLOOKUP(C32,výpočty!$Z$246:$AK$508,12,0)))</f>
        <v>BM</v>
      </c>
      <c r="K32" s="530">
        <f>IF(VLOOKUP(CHYBY!$Q$6,CHYBY!$L:$N,3,FALSE)=1,"",IF(výpočty!S26=2,0,výpočty!AT5))</f>
        <v>95.819739999999996</v>
      </c>
      <c r="L32" s="531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1" t="str">
        <f>IF(VLOOKUP(CHYBY!$Q$6,CHYBY!$L:$N,3,FALSE)=1,"",IF(P33=0,výpočty!AO7,CONCATENATE(výpočty!AO7," (X",P33,")")))</f>
        <v xml:space="preserve"> </v>
      </c>
      <c r="E33" s="501"/>
      <c r="F33" s="501"/>
      <c r="G33" s="501"/>
      <c r="H33" s="537">
        <f>IF(VLOOKUP(CHYBY!$Q$6,CHYBY!$L:$N,3,FALSE)=1,"",IF(výpočty!S28=2,0,výpočty!AR7))</f>
        <v>0</v>
      </c>
      <c r="I33" s="537"/>
      <c r="J33" s="278">
        <f>IF(VLOOKUP(CHYBY!$Q$6,CHYBY!$L:$N,3,FALSE)=1,"",IF(výpočty!S28=2,0,VLOOKUP(C33,výpočty!$Z$246:$AK$508,12,0)))</f>
        <v>0</v>
      </c>
      <c r="K33" s="576" t="str">
        <f>IF(VLOOKUP(CHYBY!$Q$6,CHYBY!$L:$N,3,FALSE)=1,"",IF(výpočty!S28=2,0,výpočty!AT7))</f>
        <v xml:space="preserve"> </v>
      </c>
      <c r="L33" s="577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Koncová lišta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0" t="str">
        <f>IF(VLOOKUP(CHYBY!$Q$6,CHYBY!$L:$N,3,FALSE)=1,"",IF(P35=0,VLOOKUP(C:C,výpočty!$AA$2:$AB$245,2,FALSE),CONCATENATE(VLOOKUP(C:C,výpočty!$AA$2:$AB$245,2,FALSE)," (X",P35,")")))</f>
        <v>Koncová lišta černá (X-6)</v>
      </c>
      <c r="E35" s="500"/>
      <c r="F35" s="500"/>
      <c r="G35" s="500"/>
      <c r="H35" s="529">
        <f>IF(VLOOKUP(CHYBY!$Q$6,CHYBY!$L:$N,3,FALSE)=1,"",IF(výpočty!S32=2,0,
IF(VEDENI=3,výpočty!AR13,
IF(SMER=1,výpočty!AR11,výpočty!AR12))))</f>
        <v>0</v>
      </c>
      <c r="I35" s="529"/>
      <c r="J35" s="275" t="str">
        <f>IF(VLOOKUP(CHYBY!$Q$6,CHYBY!$L:$N,3,FALSE)=1,"",IF(výpočty!S32=2,0,VLOOKUP(C35,výpočty!$Z$246:$AK$508,12,0)))</f>
        <v>BM</v>
      </c>
      <c r="K35" s="530">
        <f>IF(VLOOKUP(CHYBY!$Q$6,CHYBY!$L:$N,3,FALSE)=1,"",IF(výpočty!S32=2,0,IF(VEDENI=3,výpočty!AT13,výpočty!AT11)))</f>
        <v>343.54906</v>
      </c>
      <c r="L35" s="531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26" t="str">
        <f>IF(VLOOKUP(CHYBY!$Q$6,CHYBY!$L:$N,3,FALSE)=1,"",IF(P36=0,
IF(VEDENI=3,výpočty!AO14," "),CONCATENATE(IF(VEDENI=3,výpočty!AO14," ")," (X",P36,")")))</f>
        <v xml:space="preserve"> </v>
      </c>
      <c r="E36" s="526"/>
      <c r="F36" s="526"/>
      <c r="G36" s="526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524" t="str">
        <f>IF(VLOOKUP(CHYBY!$Q$6,CHYBY!$L:$N,3,FALSE)=1,"",IF(výpočty!S34=2,0,IF(VEDENI=3,výpočty!AT14," ")))</f>
        <v xml:space="preserve"> </v>
      </c>
      <c r="L36" s="525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26" t="str">
        <f>IF(VLOOKUP(CHYBY!$Q$6,CHYBY!$L:$N,3,FALSE)=1,"",VLOOKUP(C:C,výpočty!$AA$2:$AB$245,2,FALSE))</f>
        <v>Kluzný kolík 8 mm s brzdou černý</v>
      </c>
      <c r="E37" s="526"/>
      <c r="F37" s="526"/>
      <c r="G37" s="526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PAR</v>
      </c>
      <c r="K37" s="524">
        <f>IF(VLOOKUP(CHYBY!$Q$6,CHYBY!$L:$N,3,FALSE)=1,"",
IF(výpočty!S36=2,0,
IF(VEDENI=3,výpočty!AT15,výpočty!AT16)))</f>
        <v>91.18235</v>
      </c>
      <c r="L37" s="525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9">
        <f>IF(VLOOKUP(CHYBY!$Q$6,CHYBY!$L:$N,3,FALSE)=1,"",VLOOKUP(C38,výpočty!$AA$240:$AD$242,2,0))</f>
        <v>0</v>
      </c>
      <c r="E38" s="499"/>
      <c r="F38" s="499"/>
      <c r="G38" s="499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524">
        <f>IF(VLOOKUP(CHYBY!$Q$6,CHYBY!$L:$N,3,FALSE)=1,"",IF(výpočty!S60=2,0,VLOOKUP(C38,výpočty!$AA$240:$AD$242,3,0)))</f>
        <v>0</v>
      </c>
      <c r="L38" s="525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87" t="str">
        <f>IF(VLOOKUP(CHYBY!$Q$6,CHYBY!$L:$N,3,FALSE)=1,"",IF(P39=0,T39,
IF(T39=0,0,CONCATENATE(T39," (X",P39,")"))))</f>
        <v>Středová úchytová lišta C3 - uni černá (X14)</v>
      </c>
      <c r="E39" s="588"/>
      <c r="F39" s="588"/>
      <c r="G39" s="589"/>
      <c r="H39" s="537">
        <f>IF(VLOOKUP(CHYBY!$Q$6,CHYBY!$L:$N,3,FALSE)=1,"",IF(výpočty!S62=2,0,IF(C39=" ",0,IF(C39=0,0,IF(VEDENI=3,výpočty!AR13,IF(SMER=1,výpočty!AR11,výpočty!AR12))))))</f>
        <v>0</v>
      </c>
      <c r="I39" s="537"/>
      <c r="J39" s="278" t="str">
        <f>IF(VLOOKUP(CHYBY!$Q$6,CHYBY!$L:$N,3,FALSE)=1,"",IF(výpočty!S62=2,0,VLOOKUP(C39,výpočty!Z247:AK508,12,0)))</f>
        <v>BM</v>
      </c>
      <c r="K39" s="576">
        <f>IF(VLOOKUP(CHYBY!$Q$6,CHYBY!$L:$N,3,FALSE)=1,"",IF(výpočty!S62=2,0,VLOOKUP(C39,výpočty!AA3:AC242,3,0)))</f>
        <v>209.5889</v>
      </c>
      <c r="L39" s="577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9" t="str">
        <f>VLOOKUP(C39,výpočty!AA3:AB242,2,0)</f>
        <v>Středová úchytová lišta C3 - uni černá</v>
      </c>
      <c r="U39" s="499"/>
      <c r="V39" s="499"/>
      <c r="W39" s="499"/>
    </row>
    <row r="40" spans="1:23" ht="15.75" customHeight="1" x14ac:dyDescent="0.2">
      <c r="C40" s="370" t="str">
        <f>Překlady!$A$30</f>
        <v>Krycí lišta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0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Krycí lišta uni černá</v>
      </c>
      <c r="E41" s="500"/>
      <c r="F41" s="500"/>
      <c r="G41" s="500"/>
      <c r="H41" s="529">
        <f>IF(VLOOKUP(CHYBY!$Q$6,CHYBY!$L:$N,3,FALSE)=1,"",IF(výpočty!S39=2,0,IF(VEDENI=3,výpočty!AR24,IF(VEDENI=5,výpočty!AR26,IF(SMER=1,výpočty!AR22,výpočty!AR23)))))</f>
        <v>0</v>
      </c>
      <c r="I41" s="529"/>
      <c r="J41" s="275" t="str">
        <f>IF(VLOOKUP(CHYBY!$Q$6,CHYBY!$L:$N,3,FALSE)=1,"",IF(výpočty!S39=2,0,VLOOKUP(C41,výpočty!$Z$246:$AK$508,12,0)))</f>
        <v>BM</v>
      </c>
      <c r="K41" s="530">
        <f>IF(VLOOKUP(CHYBY!$Q$6,CHYBY!$L:$N,3,FALSE)=1,"",IF(výpočty!S39=2,0,IF(C41=výpočty!AA39,výpočty!AC39,(IF(VEDENI=3,výpočty!AT24,IF(VEDENI=5,výpočty!AT26,výpočty!AT22))))))</f>
        <v>226.929</v>
      </c>
      <c r="L41" s="531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1" t="str">
        <f>IF(VLOOKUP(CHYBY!$Q$6,CHYBY!$L:$N,3,FALSE)=1,"",IF(P42=0,
IF(VEDENI=3,výpočty!AO25," "),CONCATENATE(IF(VEDENI=3,výpočty!AO25," ")," (X",P42,")")))</f>
        <v xml:space="preserve"> </v>
      </c>
      <c r="E42" s="501"/>
      <c r="F42" s="501"/>
      <c r="G42" s="501"/>
      <c r="H42" s="537" t="str">
        <f>IF(VLOOKUP(CHYBY!$Q$6,CHYBY!$L:$N,3,FALSE)=1,"",IF(výpočty!S41=2,0,IF(VEDENI=3,výpočty!AR25," ")))</f>
        <v xml:space="preserve"> </v>
      </c>
      <c r="I42" s="537"/>
      <c r="J42" s="278">
        <f>IF(VLOOKUP(CHYBY!$Q$6,CHYBY!$L:$N,3,FALSE)=1,"",IF(výpočty!S41=2,0,VLOOKUP(C42,výpočty!$Z$246:$AK$508,12,0)))</f>
        <v>0</v>
      </c>
      <c r="K42" s="576" t="str">
        <f>IF(VLOOKUP(CHYBY!$Q$6,CHYBY!$L:$N,3,FALSE)=1,"",IF(výpočty!S41=2,0,IF(VEDENI=3,výpočty!AT25," ")))</f>
        <v xml:space="preserve"> </v>
      </c>
      <c r="L42" s="577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Vodící lišty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0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Vodicí lišta 8 mm na zafrézování černá (X-66)</v>
      </c>
      <c r="E44" s="500"/>
      <c r="F44" s="500"/>
      <c r="G44" s="500"/>
      <c r="H44" s="529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29"/>
      <c r="J44" s="275" t="str">
        <f>IF(VLOOKUP(CHYBY!$Q$6,CHYBY!$L:$N,3,FALSE)=1,"",IF(výpočty!S43=2,0,VLOOKUP(C44,výpočty!$Z$246:$AK$508,12,0)))</f>
        <v>BM</v>
      </c>
      <c r="K44" s="531">
        <f>IF(VLOOKUP(CHYBY!$Q$6,CHYBY!$L:$N,3,FALSE)=1,"",IF(výpočty!S43=2,0,IF(VEDENI=2,IF(NAVIJENI=3," ",výpočty!AT41),IF(VEDENI=5," ",IF(VEDENI&gt;2,IF(NAVIJENI&gt;1," ",výpočty!AT30),výpočty!AT30)))))</f>
        <v>48.395769999999999</v>
      </c>
      <c r="L44" s="531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9" t="str">
        <f>IF(VLOOKUP(CHYBY!$Q$6,CHYBY!$L:$N,3,FALSE)=1,"",IF(P45=0,IF(VEDENI&gt;2,výpočty!AO52," "),CONCATENATE(IF(VEDENI&gt;2,výpočty!AO52," ")," (X",P45,")")))</f>
        <v xml:space="preserve"> </v>
      </c>
      <c r="E45" s="499"/>
      <c r="F45" s="499"/>
      <c r="G45" s="499"/>
      <c r="H45" s="578" t="str">
        <f>IF(VLOOKUP(CHYBY!$Q$6,CHYBY!$L:$N,3,FALSE)=1,"",IF(výpočty!S45=2,0,IF(VEDENI&gt;2,výpočty!AR52," ")))</f>
        <v xml:space="preserve"> </v>
      </c>
      <c r="I45" s="578"/>
      <c r="J45" s="229">
        <f>IF(VLOOKUP(CHYBY!$Q$6,CHYBY!$L:$N,3,FALSE)=1,"",IF(výpočty!S45=2,0,VLOOKUP(C45,výpočty!$Z$246:$AK$508,12,0)))</f>
        <v>0</v>
      </c>
      <c r="K45" s="580" t="str">
        <f>IF(VLOOKUP(CHYBY!$Q$6,CHYBY!$L:$N,3,FALSE)=1,"",IF(výpočty!S45=2,0,IF(VEDENI&gt;2,výpočty!AT52," ")))</f>
        <v xml:space="preserve"> </v>
      </c>
      <c r="L45" s="580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9" t="str">
        <f>IF(VLOOKUP(CHYBY!$Q$6,CHYBY!$L:$N,3,FALSE)=1,"",IF(P46=0,IF(VEDENI&gt;2,výpočty!AO53," "),CONCATENATE(IF(VEDENI&gt;2,výpočty!AO53," ")," (X",P46,")")))</f>
        <v xml:space="preserve"> </v>
      </c>
      <c r="E46" s="499"/>
      <c r="F46" s="499"/>
      <c r="G46" s="499"/>
      <c r="H46" s="578" t="str">
        <f>IF(VLOOKUP(CHYBY!$Q$6,CHYBY!$L:$N,3,FALSE)=1,"",IF(výpočty!S47=2,0,IF(VEDENI&gt;2,výpočty!AR53," ")))</f>
        <v xml:space="preserve"> </v>
      </c>
      <c r="I46" s="578"/>
      <c r="J46" s="229">
        <f>IF(VLOOKUP(CHYBY!$Q$6,CHYBY!$L:$N,3,FALSE)=1,"",IF(výpočty!S47=2,0,VLOOKUP(C46,výpočty!$Z$246:$AK$508,12,0)))</f>
        <v>0</v>
      </c>
      <c r="K46" s="580" t="str">
        <f>IF(VLOOKUP(CHYBY!$Q$6,CHYBY!$L:$N,3,FALSE)=1,"",IF(výpočty!S47=2,0,IF(VEDENI&gt;2,výpočty!AT53," ")))</f>
        <v xml:space="preserve"> </v>
      </c>
      <c r="L46" s="580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9" t="str">
        <f>IF(VLOOKUP(CHYBY!$Q$6,CHYBY!$L:$N,3,FALSE)=1,"",IF(P47=0,IF(VEDENI&gt;2,výpočty!AO54," "),CONCATENATE(IF(VEDENI&gt;2,výpočty!AO54," ")," (X",P47,")")))</f>
        <v xml:space="preserve"> </v>
      </c>
      <c r="E47" s="499"/>
      <c r="F47" s="499"/>
      <c r="G47" s="499"/>
      <c r="H47" s="578" t="str">
        <f>IF(VLOOKUP(CHYBY!$Q$6,CHYBY!$L:$N,3,FALSE)=1,"",IF(výpočty!S49=2,0,IF(VEDENI&gt;2,výpočty!AR54," ")))</f>
        <v xml:space="preserve"> </v>
      </c>
      <c r="I47" s="578"/>
      <c r="J47" s="229">
        <f>IF(VLOOKUP(CHYBY!$Q$6,CHYBY!$L:$N,3,FALSE)=1,"",IF(výpočty!S49=2,0,VLOOKUP(C47,výpočty!$Z$246:$AK$508,12,0)))</f>
        <v>0</v>
      </c>
      <c r="K47" s="580" t="str">
        <f>IF(VLOOKUP(CHYBY!$Q$6,CHYBY!$L:$N,3,FALSE)=1,"",IF(výpočty!S49=2,0,IF(VEDENI&gt;2,výpočty!AT54," ")))</f>
        <v xml:space="preserve"> </v>
      </c>
      <c r="L47" s="580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9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9"/>
      <c r="F48" s="499"/>
      <c r="G48" s="499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524">
        <f>IF(VLOOKUP(CHYBY!$Q$6,CHYBY!$L:$N,3,FALSE)=1,"",IF(C48=0,0,IF(výpočty!S55=2,0,VLOOKUP(C48,výpočty!AA235:AD236,3,0))))</f>
        <v>0</v>
      </c>
      <c r="L48" s="525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527" t="str">
        <f>IF(VLOOKUP(CHYBY!$Q$6,CHYBY!$L:$N,3,FALSE)=1,"",IF(C49=výpočty!AA173,výpočty!AB173,AJ49))</f>
        <v>Vodicí oblouk 90 ° 8 mm černý</v>
      </c>
      <c r="E49" s="528"/>
      <c r="F49" s="528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KS</v>
      </c>
      <c r="K49" s="524">
        <f>IF(VLOOKUP(CHYBY!$Q$6,CHYBY!$L:$N,3,FALSE)=1,"",IF(výpočty!S51=2,0,IF(NAVIJENI=1,IF(VEDENI=1,výpočty!AT31,IF(VEDENI=2,výpočty!AT42,výpočty!AT56)),IF(NAVIJENI=2,IF(VEDENI&lt;3,výpočty!AT35,výpočty!AT55),výpočty!AT36))))</f>
        <v>25.99616</v>
      </c>
      <c r="L49" s="525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56" t="str">
        <f>IF(NAVIJENI=1,IF(VEDENI=1,výpočty!AO31,IF(VEDENI=2,výpočty!AO42,výpočty!AO56)),IF(NAVIJENI=2,IF(VEDENI&lt;3,výpočty!AO35,výpočty!AO55),výpočty!AO36))</f>
        <v>Vodicí oblouk 90 ° 8 mm černý</v>
      </c>
      <c r="U49" s="556"/>
      <c r="V49" s="556"/>
      <c r="W49" s="556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Vodicí oblouk 90 ° 8 mm černý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79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Vodicí oblouk 90 ° 8 mm černý</v>
      </c>
      <c r="AA49" s="579"/>
      <c r="AB49" s="579"/>
      <c r="AC49" s="579"/>
      <c r="AD49" s="205" t="str">
        <f>IF(VEDENI=1,IF(NAVIJENI=2,Překlady!B93,Z49),Z49)</f>
        <v>Vodicí oblouk 90 ° 8 mm černý</v>
      </c>
      <c r="AI49" s="216" t="str">
        <f>IF(VEDENI=1,IF(NAVIJENI=2,Překlady!A84,'Objednávka žaluzií'!Y49),'Objednávka žaluzií'!Y49)</f>
        <v>R92828</v>
      </c>
      <c r="AJ49" s="527" t="str">
        <f>IF(P49=0,IF(VEDENI=1,IF(NAVIJENI=2,Překlady!B93,Z49),Z49),CONCATENATE(IF(VEDENI=1,IF(NAVIJENI=2,Překlady!B93,Z49),Z49)," (X",P49,")"))</f>
        <v>Vodicí oblouk 90 ° 8 mm černý</v>
      </c>
      <c r="AK49" s="528"/>
      <c r="AL49" s="528"/>
      <c r="AM49" s="575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9">
        <f>IF(VLOOKUP(CHYBY!$Q$6,CHYBY!$L:$N,3,FALSE)=1,"",IF(P50=0,IF(C50=výpočty!AA234,výpočty!AB234,0),CONCATENATE(IF(C50=výpočty!AA234,výpočty!AB234,0)," (X",P50,")")))</f>
        <v>0</v>
      </c>
      <c r="E50" s="499"/>
      <c r="F50" s="499"/>
      <c r="G50" s="499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524">
        <f>IF(VLOOKUP(CHYBY!$Q$6,CHYBY!$L:$N,3,FALSE)=1,"",IF(výpočty!S53=2,0,IF(C50=výpočty!AA234,výpočty!AC234,0)))</f>
        <v>0</v>
      </c>
      <c r="L50" s="525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495"/>
      <c r="E51" s="495"/>
      <c r="F51" s="495"/>
      <c r="G51" s="495"/>
      <c r="H51" s="537"/>
      <c r="I51" s="537"/>
      <c r="J51" s="278"/>
      <c r="K51" s="497"/>
      <c r="L51" s="498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Lepící páska pro podlepení žaluzií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9" t="str">
        <f>IF(VLOOKUP(CHYBY!$Q$6,CHYBY!$L:$N,3,FALSE)=1,"",IF(C53=0,0,VLOOKUP('Objednávka žaluzií'!C53,výpočty!$AA$238:$AD$239,2,0)))</f>
        <v>Lepicí páska k podlepení žaluzií</v>
      </c>
      <c r="E53" s="499"/>
      <c r="F53" s="499"/>
      <c r="G53" s="499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BM</v>
      </c>
      <c r="K53" s="524">
        <f>IF(VLOOKUP(CHYBY!$Q$6,CHYBY!$L:$N,3,FALSE)=1,"",IF(výpočty!S54=2,0,IF(C53=0,0,VLOOKUP(C53,výpočty!$AA$238:$AD$239,3,0))))</f>
        <v>16.614090000000001</v>
      </c>
      <c r="L53" s="525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Poplatek za přípravu setu na míru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0" t="str">
        <f>IF(VLOOKUP(CHYBY!$Q$6,CHYBY!$L:$N,3,FALSE)=1,"",IF(C55=výpočty!AA237,výpočty!AB237,0))</f>
        <v>Poplatek za přípravu žaluzií</v>
      </c>
      <c r="E55" s="511"/>
      <c r="F55" s="511"/>
      <c r="G55" s="512"/>
      <c r="H55" s="502">
        <f>IF(VLOOKUP(CHYBY!$Q$6,CHYBY!$L:$N,3,FALSE)=1,"",IF(C55=výpočty!AA237,F21,0))</f>
        <v>0</v>
      </c>
      <c r="I55" s="503"/>
      <c r="J55" s="230" t="str">
        <f>IF(VLOOKUP(CHYBY!$Q$6,CHYBY!$L:$N,3,FALSE)=1,"",IF(výpočty!S50=2,0,VLOOKUP(C55,výpočty!$Z$246:$AK$508,12,0)))</f>
        <v>KS</v>
      </c>
      <c r="K55" s="518">
        <f>IF(VLOOKUP(CHYBY!$Q$6,CHYBY!$L:$N,3,FALSE)=1,"",IF(C55=výpočty!AA237,výpočty!AC237,0))</f>
        <v>299</v>
      </c>
      <c r="L55" s="518"/>
      <c r="M55" s="302">
        <f>IF(VLOOKUP(CHYBY!$Q$6,CHYBY!$L:$N,3,FALSE)=1,"",H55*K55)</f>
        <v>0</v>
      </c>
      <c r="N55" s="519"/>
      <c r="O55" s="520"/>
    </row>
    <row r="56" spans="1:39" ht="8.25" customHeight="1" x14ac:dyDescent="0.2">
      <c r="C56" s="222"/>
      <c r="D56" s="221"/>
      <c r="E56" s="221"/>
      <c r="F56" s="517"/>
      <c r="G56" s="517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81" t="str">
        <f>Překlady!$A$33</f>
        <v>Celkem bez DPH</v>
      </c>
      <c r="D57" s="582"/>
      <c r="E57" s="582"/>
      <c r="F57" s="582"/>
      <c r="G57" s="383"/>
      <c r="H57" s="383"/>
      <c r="I57" s="383"/>
      <c r="J57" s="383"/>
      <c r="K57" s="583">
        <f>IFERROR(SUM(M32:M55),Překlady!A84)</f>
        <v>0</v>
      </c>
      <c r="L57" s="583"/>
      <c r="M57" s="583"/>
      <c r="N57" s="381" t="str">
        <f>Překlady!A178</f>
        <v xml:space="preserve"> Kč</v>
      </c>
      <c r="O57" s="382"/>
      <c r="P57" s="373"/>
    </row>
    <row r="58" spans="1:39" ht="8.25" customHeight="1" x14ac:dyDescent="0.2">
      <c r="C58" s="222"/>
      <c r="D58" s="221"/>
      <c r="E58" s="221"/>
      <c r="F58" s="517"/>
      <c r="G58" s="517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14" t="str">
        <f>Překlady!$A$9</f>
        <v>Poznámky</v>
      </c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5"/>
    </row>
    <row r="60" spans="1:39" ht="11.25" customHeight="1" x14ac:dyDescent="0.2">
      <c r="C60" s="515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7"/>
    </row>
    <row r="61" spans="1:39" ht="11.25" customHeight="1" x14ac:dyDescent="0.2">
      <c r="C61" s="515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7"/>
    </row>
    <row r="62" spans="1:39" ht="11.25" customHeight="1" x14ac:dyDescent="0.2">
      <c r="C62" s="515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7"/>
    </row>
    <row r="63" spans="1:39" ht="11.25" customHeight="1" x14ac:dyDescent="0.2">
      <c r="C63" s="515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7"/>
    </row>
    <row r="64" spans="1:39" ht="11.25" customHeight="1" x14ac:dyDescent="0.2">
      <c r="C64" s="515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7"/>
    </row>
    <row r="65" spans="3:15" ht="11.25" customHeight="1" x14ac:dyDescent="0.2">
      <c r="C65" s="515"/>
      <c r="D65" s="506"/>
      <c r="E65" s="506"/>
      <c r="F65" s="506"/>
      <c r="G65" s="506"/>
      <c r="H65" s="506"/>
      <c r="I65" s="506"/>
      <c r="J65" s="506"/>
      <c r="K65" s="506"/>
      <c r="L65" s="506"/>
      <c r="M65" s="506"/>
      <c r="N65" s="506"/>
      <c r="O65" s="507"/>
    </row>
    <row r="66" spans="3:15" ht="11.25" customHeight="1" x14ac:dyDescent="0.2">
      <c r="C66" s="515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7"/>
    </row>
    <row r="67" spans="3:15" ht="11.25" customHeight="1" x14ac:dyDescent="0.2">
      <c r="C67" s="516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8"/>
      <c r="O67" s="509"/>
    </row>
    <row r="68" spans="3:15" ht="22.5" customHeight="1" x14ac:dyDescent="0.2">
      <c r="C68" s="493" t="str">
        <f>Překlady!$A$103</f>
        <v>Montážní návody jsou k dispozici na našem portále www.demos24plus.com</v>
      </c>
      <c r="D68" s="494"/>
      <c r="E68" s="494"/>
      <c r="F68" s="494"/>
      <c r="G68" s="494"/>
      <c r="H68" s="494"/>
      <c r="I68" s="494"/>
      <c r="J68" s="494"/>
      <c r="K68" s="494"/>
      <c r="L68" s="494"/>
      <c r="M68" s="513" t="s">
        <v>1532</v>
      </c>
      <c r="N68" s="513"/>
      <c r="O68" s="513"/>
    </row>
    <row r="69" spans="3:15" ht="11.25" customHeight="1" x14ac:dyDescent="0.2">
      <c r="C69" s="239" t="str">
        <f>Překlady!$A$105</f>
        <v>Ver. 26.05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Uvedené ceny jsou bez DPH, s platností k 17.04.2026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44:G44"/>
    <mergeCell ref="D48:G48"/>
    <mergeCell ref="K45:L45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Vertikální (ze shora dolů)</v>
      </c>
      <c r="B2" s="256" t="str">
        <f>výpočty!$R$9</f>
        <v>Dozadu</v>
      </c>
      <c r="C2" t="str">
        <f>výpočty!$R$3</f>
        <v>TOP Basic - vložený na šroubování plastový</v>
      </c>
      <c r="D2" s="26" t="str">
        <f>výpočty!$W$3</f>
        <v>Černá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vložený na zafrézování</v>
      </c>
    </row>
    <row r="3" spans="1:23" ht="13.5" thickBot="1" x14ac:dyDescent="0.25">
      <c r="A3" s="255" t="str">
        <f>výpočty!$R$14</f>
        <v>Vertikální (ze shora dolů)</v>
      </c>
      <c r="B3" s="256" t="str">
        <f>výpočty!$R$9</f>
        <v>Dozadu</v>
      </c>
      <c r="C3" t="str">
        <f>výpočty!$R$3</f>
        <v>TOP Basic - vložený na šroubování plastový</v>
      </c>
      <c r="D3" s="36" t="str">
        <f>výpočty!$W$4</f>
        <v>Bílá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55" t="str">
        <f>výpočty!$R$14</f>
        <v>Vertikální (ze shora dolů)</v>
      </c>
      <c r="B4" s="256" t="str">
        <f>výpočty!$R$9</f>
        <v>Dozadu</v>
      </c>
      <c r="C4" t="str">
        <f>výpočty!$R$3</f>
        <v>TOP Basic - vložený na šroubování plastový</v>
      </c>
      <c r="D4" s="36" t="str">
        <f>výpočty!$W$5</f>
        <v>Šedá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Vertikální (ze shora dolů)</v>
      </c>
    </row>
    <row r="5" spans="1:23" ht="13.5" thickBot="1" x14ac:dyDescent="0.25">
      <c r="A5" s="255" t="str">
        <f>výpočty!$R$14</f>
        <v>Vertikální (ze shora dolů)</v>
      </c>
      <c r="B5" s="256" t="str">
        <f>výpočty!$R$9</f>
        <v>Dozadu</v>
      </c>
      <c r="C5" t="str">
        <f>výpočty!$R$3</f>
        <v>TOP Basic - vložený na šroubování plastový</v>
      </c>
      <c r="D5" s="36" t="str">
        <f>výpočty!$W$6</f>
        <v>Hliník plast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Černá (E23)</v>
      </c>
    </row>
    <row r="6" spans="1:23" ht="13.5" thickBot="1" x14ac:dyDescent="0.25">
      <c r="A6" s="255" t="str">
        <f>výpočty!$R$14</f>
        <v>Vertikální (ze shora dolů)</v>
      </c>
      <c r="B6" s="256" t="str">
        <f>výpočty!$R$9</f>
        <v>Dozadu</v>
      </c>
      <c r="C6" t="str">
        <f>výpočty!$R$3</f>
        <v>TOP Basic - vložený na šroubování plastový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Vertikální (ze shora dolů)</v>
      </c>
      <c r="B7" s="256" t="str">
        <f>výpočty!$R$9</f>
        <v>Dozadu</v>
      </c>
      <c r="C7" t="str">
        <f>výpočty!$R$3</f>
        <v>TOP Basic - vložený na šroubování plastový</v>
      </c>
      <c r="D7" s="36" t="str">
        <f>výpočty!$W$8</f>
        <v>Třešeň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Vertikální (ze shora dolů)</v>
      </c>
      <c r="B8" s="256" t="str">
        <f>výpočty!$R$9</f>
        <v>Dozadu</v>
      </c>
      <c r="C8" t="str">
        <f>výpočty!$R$3</f>
        <v>TOP Basic - vložený na šroubování plastový</v>
      </c>
      <c r="D8" s="36" t="str">
        <f>výpočty!$W$9</f>
        <v>Javor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Vertikální (ze shora dolů)</v>
      </c>
      <c r="B9" s="256" t="str">
        <f>výpočty!$R$9</f>
        <v>Dozadu</v>
      </c>
      <c r="C9" t="str">
        <f>výpočty!$R$3</f>
        <v>TOP Basic - vložený na šroubování plastový</v>
      </c>
      <c r="D9" s="36" t="str">
        <f>výpočty!$W$10</f>
        <v>Bříza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Vertikální (ze shora dolů)</v>
      </c>
      <c r="B10" s="256" t="str">
        <f>výpočty!$R$9</f>
        <v>Dozadu</v>
      </c>
      <c r="C10" t="str">
        <f>výpočty!$R$3</f>
        <v>TOP Basic - vložený na šroubování plastový</v>
      </c>
      <c r="D10" s="36" t="str">
        <f>výpočty!$W$11</f>
        <v>Třešeň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Vertikální (ze shora dolů)</v>
      </c>
      <c r="B11" s="256" t="str">
        <f>výpočty!$R$9</f>
        <v>Dozadu</v>
      </c>
      <c r="C11" t="str">
        <f>výpočty!$R$3</f>
        <v>TOP Basic - vložený na šroubování plastový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92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Vertikální (ze shora dolů)</v>
      </c>
      <c r="B12" s="256" t="str">
        <f>výpočty!$R$9</f>
        <v>Dozadu</v>
      </c>
      <c r="C12" t="str">
        <f>výpočty!$R$3</f>
        <v>TOP Basic - vložený na šroubování plastový</v>
      </c>
      <c r="D12" s="350" t="str">
        <f>výpočty!$W$14</f>
        <v>Zářivě bílá mat (E9)</v>
      </c>
      <c r="E12" s="321" t="s">
        <v>2131</v>
      </c>
      <c r="F12" s="321">
        <v>1</v>
      </c>
      <c r="G12" s="321" t="str">
        <f>Překlady!$A$142</f>
        <v>Barevné provedení Zářivě bílá v profilu E9 je možné kombinovat jen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Barevné provedení Zářivě bílá v profilu E9 je možné kombinovat jen s vedením Classic a TOP.</v>
      </c>
      <c r="N12">
        <f t="shared" si="2"/>
        <v>1</v>
      </c>
      <c r="T12" s="592"/>
      <c r="U12" s="347" t="str">
        <f>IF(AND(V8&gt;(1200-36),V4=1),Překlady!A156,"")</f>
        <v/>
      </c>
    </row>
    <row r="13" spans="1:23" x14ac:dyDescent="0.2">
      <c r="A13" s="255" t="str">
        <f>výpočty!$R$14</f>
        <v>Vertikální (ze shora dolů)</v>
      </c>
      <c r="B13" s="256" t="str">
        <f>výpočty!$R$9</f>
        <v>Dozadu</v>
      </c>
      <c r="C13" t="str">
        <f>výpočty!$R$3</f>
        <v>TOP Basic - vložený na šroubování plastový</v>
      </c>
      <c r="D13" s="36" t="str">
        <f>výpočty!$W$15</f>
        <v>Hliník plast (E4)</v>
      </c>
      <c r="E13" t="s">
        <v>2131</v>
      </c>
      <c r="F13">
        <v>1</v>
      </c>
      <c r="G13" s="321" t="str">
        <f>Překlady!$A$143</f>
        <v>Barevné provedení Hliník plast v profilu E4 je vhodné na Horizontální vedení v kombinaci s vedením Classic s navíjením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Barevné provedení Hliník plast v profilu E4 je vhodné na Horizontální vedení v kombinaci s vedením Classic s navíjením dozadu.</v>
      </c>
      <c r="N13">
        <f t="shared" si="2"/>
        <v>1</v>
      </c>
      <c r="T13" s="592"/>
      <c r="U13" s="349" t="str">
        <f>IF(AND(V4=2,V5&lt;&gt;13,V7&gt;1150),Překlady!A157,"")</f>
        <v/>
      </c>
    </row>
    <row r="14" spans="1:23" x14ac:dyDescent="0.2">
      <c r="A14" s="255" t="str">
        <f>výpočty!$R$14</f>
        <v>Vertikální (ze shora dolů)</v>
      </c>
      <c r="B14" s="256" t="str">
        <f>výpočty!$R$9</f>
        <v>Dozadu</v>
      </c>
      <c r="C14" t="str">
        <f>výpočty!$R$3</f>
        <v>TOP Basic - vložený na šroubování plastový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Nelze kombinovat systém vedení TOP BASIC s roletovým profilem Metallic line. Nutno zvolit vedení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Nelze kombinovat systém vedení TOP BASIC s roletovým profilem Metallic line. Nutno zvolit vedení TOP.</v>
      </c>
      <c r="N14">
        <f t="shared" si="2"/>
        <v>1</v>
      </c>
      <c r="T14" s="592"/>
      <c r="U14" s="347" t="str">
        <f>IF(AND(V4=2,V5=13,V7&gt;1900),Překlady!A158,"")</f>
        <v/>
      </c>
    </row>
    <row r="15" spans="1:23" x14ac:dyDescent="0.2">
      <c r="A15" s="255" t="str">
        <f>výpočty!$R$14</f>
        <v>Vertikální (ze shora dolů)</v>
      </c>
      <c r="B15" s="256" t="str">
        <f>výpočty!$R$9</f>
        <v>Dozadu</v>
      </c>
      <c r="C15" t="str">
        <f>výpočty!$R$3</f>
        <v>TOP Basic - vložený na šroubování plastový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Nelze kombinovat systém vedení TOP BASIC s roletovým profilem Metallic line. Nutno zvolit vedení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Nelze kombinovat systém vedení TOP BASIC s roletovým profilem Metallic line. Nutno zvolit vedení TOP.</v>
      </c>
      <c r="N15">
        <f t="shared" si="2"/>
        <v>1</v>
      </c>
      <c r="T15" s="592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Vertikální (ze shora dolů)</v>
      </c>
      <c r="B16" s="256" t="str">
        <f>výpočty!$R$9</f>
        <v>Dozadu</v>
      </c>
      <c r="C16" t="str">
        <f>výpočty!$R$3</f>
        <v>TOP Basic - vložený na šroubování plastový</v>
      </c>
      <c r="D16" s="36" t="str">
        <f>výpočty!$W$19</f>
        <v>Hliník šířka 25 mm (metallic-line)</v>
      </c>
      <c r="E16" t="s">
        <v>2131</v>
      </c>
      <c r="F16">
        <v>1</v>
      </c>
      <c r="G16" s="321" t="str">
        <f>Překlady!$A$144</f>
        <v>Nelze kombinovat systém vedení TOP BASIC s roletovým profilem Metallic line. Nutno zvolit vedení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Nelze kombinovat systém vedení TOP BASIC s roletovým profilem Metallic line. Nutno zvolit vedení TOP.</v>
      </c>
      <c r="N16">
        <f t="shared" si="2"/>
        <v>1</v>
      </c>
    </row>
    <row r="17" spans="1:23" ht="13.5" thickBot="1" x14ac:dyDescent="0.25">
      <c r="A17" s="255" t="str">
        <f>výpočty!$R$14</f>
        <v>Vertikální (ze shora dolů)</v>
      </c>
      <c r="B17" s="256" t="str">
        <f>výpočty!$R$9</f>
        <v>Dozadu</v>
      </c>
      <c r="C17" t="str">
        <f>výpočty!$R$3</f>
        <v>TOP Basic - vložený na šroubování plastový</v>
      </c>
      <c r="D17" s="27" t="str">
        <f>výpočty!$W$20</f>
        <v>Nerez šířka 25 mm (metallic-line)</v>
      </c>
      <c r="E17" t="s">
        <v>2131</v>
      </c>
      <c r="F17">
        <v>1</v>
      </c>
      <c r="G17" s="321" t="str">
        <f>Překlady!$A$144</f>
        <v>Nelze kombinovat systém vedení TOP BASIC s roletovým profilem Metallic line. Nutno zvolit vedení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Nelze kombinovat systém vedení TOP BASIC s roletovým profilem Metallic line. Nutno zvolit vedení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Vertikální (ze shora dolů)</v>
      </c>
      <c r="B18" s="256" t="str">
        <f>výpočty!$R$9</f>
        <v>Dozadu</v>
      </c>
      <c r="C18" t="str">
        <f>výpočty!$R$4</f>
        <v>Classic - vložený na zafrézování</v>
      </c>
      <c r="D18" s="26" t="str">
        <f>výpočty!$W$3</f>
        <v>Černá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Vertikální (ze shora dolů)</v>
      </c>
      <c r="B19" s="256" t="str">
        <f>výpočty!$R$9</f>
        <v>Dozadu</v>
      </c>
      <c r="C19" t="str">
        <f>výpočty!$R$4</f>
        <v>Classic - vložený na zafrézování</v>
      </c>
      <c r="D19" s="36" t="str">
        <f>výpočty!$W$4</f>
        <v>Bílá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Vertikální (ze shora dolů)</v>
      </c>
      <c r="B20" s="256" t="str">
        <f>výpočty!$R$9</f>
        <v>Dozadu</v>
      </c>
      <c r="C20" t="str">
        <f>výpočty!$R$4</f>
        <v>Classic - vložený na zafrézování</v>
      </c>
      <c r="D20" s="36" t="str">
        <f>výpočty!$W$5</f>
        <v>Šedá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Vertikální (ze shora dolů)</v>
      </c>
      <c r="B21" s="256" t="str">
        <f>výpočty!$R$9</f>
        <v>Dozadu</v>
      </c>
      <c r="C21" t="str">
        <f>výpočty!$R$4</f>
        <v>Classic - vložený na zafrézování</v>
      </c>
      <c r="D21" s="36" t="str">
        <f>výpočty!$W$6</f>
        <v>Hliník plast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Vertikální (ze shora dolů)</v>
      </c>
      <c r="B22" s="256" t="str">
        <f>výpočty!$R$9</f>
        <v>Dozadu</v>
      </c>
      <c r="C22" t="str">
        <f>výpočty!$R$4</f>
        <v>Classic - vložený na zafrézování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Vertikální (ze shora dolů)</v>
      </c>
      <c r="B23" s="256" t="str">
        <f>výpočty!$R$9</f>
        <v>Dozadu</v>
      </c>
      <c r="C23" t="str">
        <f>výpočty!$R$4</f>
        <v>Classic - vložený na zafrézování</v>
      </c>
      <c r="D23" s="36" t="str">
        <f>výpočty!$W$8</f>
        <v>Třešeň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Vertikální (ze shora dolů)</v>
      </c>
      <c r="B24" s="256" t="str">
        <f>výpočty!$R$9</f>
        <v>Dozadu</v>
      </c>
      <c r="C24" t="str">
        <f>výpočty!$R$4</f>
        <v>Classic - vložený na zafrézování</v>
      </c>
      <c r="D24" s="36" t="str">
        <f>výpočty!$W$9</f>
        <v>Javor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Vertikální (ze shora dolů)</v>
      </c>
      <c r="B25" s="256" t="str">
        <f>výpočty!$R$9</f>
        <v>Dozadu</v>
      </c>
      <c r="C25" t="str">
        <f>výpočty!$R$4</f>
        <v>Classic - vložený na zafrézování</v>
      </c>
      <c r="D25" s="36" t="str">
        <f>výpočty!$W$10</f>
        <v>Bříza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Vertikální (ze shora dolů)</v>
      </c>
      <c r="B26" s="256" t="str">
        <f>výpočty!$R$9</f>
        <v>Dozadu</v>
      </c>
      <c r="C26" t="str">
        <f>výpočty!$R$4</f>
        <v>Classic - vložený na zafrézování</v>
      </c>
      <c r="D26" s="36" t="str">
        <f>výpočty!$W$11</f>
        <v>Třešeň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Vertikální (ze shora dolů)</v>
      </c>
      <c r="B27" s="256" t="str">
        <f>výpočty!$R$9</f>
        <v>Dozadu</v>
      </c>
      <c r="C27" t="str">
        <f>výpočty!$R$4</f>
        <v>Classic - vložený na zafrézování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Vertikální (ze shora dolů)</v>
      </c>
      <c r="B28" s="256" t="str">
        <f>výpočty!$R$9</f>
        <v>Dozadu</v>
      </c>
      <c r="C28" t="str">
        <f>výpočty!$R$4</f>
        <v>Classic - vložený na zafrézování</v>
      </c>
      <c r="D28" s="350" t="str">
        <f>výpočty!$W$14</f>
        <v>Zářivě bílá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Vertikální (ze shora dolů)</v>
      </c>
      <c r="B29" s="256" t="str">
        <f>výpočty!$R$9</f>
        <v>Dozadu</v>
      </c>
      <c r="C29" t="str">
        <f>výpočty!$R$4</f>
        <v>Classic - vložený na zafrézování</v>
      </c>
      <c r="D29" s="36" t="str">
        <f>výpočty!$W$15</f>
        <v>Hliník plast (E4)</v>
      </c>
      <c r="E29" s="321" t="s">
        <v>2131</v>
      </c>
      <c r="F29" s="321">
        <v>0</v>
      </c>
      <c r="G29" s="321" t="str">
        <f>Překlady!$A$143</f>
        <v>Barevné provedení Hliník plast v profilu E4 je vhodné na Horizontální vedení v kombinaci s vedením Classic s navíjením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Barevné provedení Hliník plast v profilu E4 je vhodné na Horizontální vedení v kombinaci s vedením Classic s navíjením dozadu.</v>
      </c>
      <c r="N29">
        <f t="shared" si="2"/>
        <v>0</v>
      </c>
    </row>
    <row r="30" spans="1:23" x14ac:dyDescent="0.2">
      <c r="A30" s="255" t="str">
        <f>výpočty!$R$14</f>
        <v>Vertikální (ze shora dolů)</v>
      </c>
      <c r="B30" s="256" t="str">
        <f>výpočty!$R$9</f>
        <v>Dozadu</v>
      </c>
      <c r="C30" t="str">
        <f>výpočty!$R$4</f>
        <v>Classic - vložený na zafrézování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Vertikální (ze shora dolů)</v>
      </c>
      <c r="B31" s="256" t="str">
        <f>výpočty!$R$9</f>
        <v>Dozadu</v>
      </c>
      <c r="C31" t="str">
        <f>výpočty!$R$4</f>
        <v>Classic - vložený na zafrézování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Vertikální (ze shora dolů)</v>
      </c>
      <c r="B32" s="256" t="str">
        <f>výpočty!$R$9</f>
        <v>Dozadu</v>
      </c>
      <c r="C32" t="str">
        <f>výpočty!$R$4</f>
        <v>Classic - vložený na zafrézování</v>
      </c>
      <c r="D32" s="36" t="str">
        <f>výpočty!$W$19</f>
        <v>Hliník šířka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Vertikální (ze shora dolů)</v>
      </c>
      <c r="B33" s="256" t="str">
        <f>výpočty!$R$9</f>
        <v>Dozadu</v>
      </c>
      <c r="C33" t="str">
        <f>výpočty!$R$4</f>
        <v>Classic - vložený na zafrézování</v>
      </c>
      <c r="D33" s="27" t="str">
        <f>výpočty!$W$20</f>
        <v>Nerez šířka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Vertikální (ze shora dolů)</v>
      </c>
      <c r="B34" s="256" t="str">
        <f>výpočty!$R$9</f>
        <v>Dozadu</v>
      </c>
      <c r="C34" t="str">
        <f>výpočty!$R$5</f>
        <v xml:space="preserve">Frame - naložený s krycí lištou </v>
      </c>
      <c r="D34" s="26" t="str">
        <f>výpočty!$W$3</f>
        <v>Černá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Vertikální (ze shora dolů)</v>
      </c>
      <c r="B35" s="256" t="str">
        <f>výpočty!$R$9</f>
        <v>Dozadu</v>
      </c>
      <c r="C35" t="str">
        <f>výpočty!$R$5</f>
        <v xml:space="preserve">Frame - naložený s krycí lištou </v>
      </c>
      <c r="D35" s="36" t="str">
        <f>výpočty!$W$4</f>
        <v>Bílá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Vertikální (ze shora dolů)</v>
      </c>
      <c r="B36" s="256" t="str">
        <f>výpočty!$R$9</f>
        <v>Dozadu</v>
      </c>
      <c r="C36" t="str">
        <f>výpočty!$R$5</f>
        <v xml:space="preserve">Frame - naložený s krycí lištou </v>
      </c>
      <c r="D36" s="36" t="str">
        <f>výpočty!$W$5</f>
        <v>Šedá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Vertikální (ze shora dolů)</v>
      </c>
      <c r="B37" s="256" t="str">
        <f>výpočty!$R$9</f>
        <v>Dozadu</v>
      </c>
      <c r="C37" t="str">
        <f>výpočty!$R$5</f>
        <v xml:space="preserve">Frame - naložený s krycí lištou </v>
      </c>
      <c r="D37" s="36" t="str">
        <f>výpočty!$W$6</f>
        <v>Hliník plast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Vertikální (ze shora dolů)</v>
      </c>
      <c r="B38" s="256" t="str">
        <f>výpočty!$R$9</f>
        <v>Dozadu</v>
      </c>
      <c r="C38" t="str">
        <f>výpočty!$R$5</f>
        <v xml:space="preserve">Frame - naložený s krycí lištou 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Barevné provedení BUK v profilu E23 již nelze kombinovat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Barevné provedení BUK v profilu E23 již nelze kombinovat s vedením FRAME.</v>
      </c>
      <c r="N38">
        <f t="shared" si="2"/>
        <v>1</v>
      </c>
    </row>
    <row r="39" spans="1:14" x14ac:dyDescent="0.2">
      <c r="A39" s="255" t="str">
        <f>výpočty!$R$14</f>
        <v>Vertikální (ze shora dolů)</v>
      </c>
      <c r="B39" s="256" t="str">
        <f>výpočty!$R$9</f>
        <v>Dozadu</v>
      </c>
      <c r="C39" t="str">
        <f>výpočty!$R$5</f>
        <v xml:space="preserve">Frame - naložený s krycí lištou </v>
      </c>
      <c r="D39" s="36" t="str">
        <f>výpočty!$W$8</f>
        <v>Třešeň (E23)</v>
      </c>
      <c r="E39" t="s">
        <v>2130</v>
      </c>
      <c r="F39">
        <v>1</v>
      </c>
      <c r="G39" t="str">
        <f>Překlady!$A$176</f>
        <v>Barevné provedení Třešeň v profilu E23 již nelze kombinovat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Barevné provedení Třešeň v profilu E23 již nelze kombinovat s vedením FRAME.</v>
      </c>
      <c r="N39">
        <f t="shared" si="2"/>
        <v>1</v>
      </c>
    </row>
    <row r="40" spans="1:14" x14ac:dyDescent="0.2">
      <c r="A40" s="255" t="str">
        <f>výpočty!$R$14</f>
        <v>Vertikální (ze shora dolů)</v>
      </c>
      <c r="B40" s="256" t="str">
        <f>výpočty!$R$9</f>
        <v>Dozadu</v>
      </c>
      <c r="C40" t="str">
        <f>výpočty!$R$5</f>
        <v xml:space="preserve">Frame - naložený s krycí lištou </v>
      </c>
      <c r="D40" s="36" t="str">
        <f>výpočty!$W$9</f>
        <v>Javor (E23)</v>
      </c>
      <c r="E40" t="s">
        <v>2130</v>
      </c>
      <c r="F40">
        <v>1</v>
      </c>
      <c r="G40" t="str">
        <f>Překlady!$A$177</f>
        <v>Barevné provedení Javor v profilu E23 již nelze kombinovat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Barevné provedení Javor v profilu E23 již nelze kombinovat s vedením FRAME.</v>
      </c>
      <c r="N40">
        <f t="shared" si="2"/>
        <v>1</v>
      </c>
    </row>
    <row r="41" spans="1:14" x14ac:dyDescent="0.2">
      <c r="A41" s="255" t="str">
        <f>výpočty!$R$14</f>
        <v>Vertikální (ze shora dolů)</v>
      </c>
      <c r="B41" s="256" t="str">
        <f>výpočty!$R$9</f>
        <v>Dozadu</v>
      </c>
      <c r="C41" t="str">
        <f>výpočty!$R$5</f>
        <v xml:space="preserve">Frame - naložený s krycí lištou </v>
      </c>
      <c r="D41" s="36" t="str">
        <f>výpočty!$W$10</f>
        <v>Bříza (E23)</v>
      </c>
      <c r="E41" t="s">
        <v>2130</v>
      </c>
      <c r="F41">
        <v>1</v>
      </c>
      <c r="G41" t="str">
        <f>Překlady!$A$175</f>
        <v>Barevné provedení Bříza v profilu E23 již nelze kombinovat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Barevné provedení Bříza v profilu E23 již nelze kombinovat s vedením FRAME.</v>
      </c>
      <c r="N41">
        <f t="shared" si="2"/>
        <v>1</v>
      </c>
    </row>
    <row r="42" spans="1:14" x14ac:dyDescent="0.2">
      <c r="A42" s="255" t="str">
        <f>výpočty!$R$14</f>
        <v>Vertikální (ze shora dolů)</v>
      </c>
      <c r="B42" s="256" t="str">
        <f>výpočty!$R$9</f>
        <v>Dozadu</v>
      </c>
      <c r="C42" t="str">
        <f>výpočty!$R$5</f>
        <v xml:space="preserve">Frame - naložený s krycí lištou </v>
      </c>
      <c r="D42" s="36" t="str">
        <f>výpočty!$W$11</f>
        <v>Třešeň havana (E23)</v>
      </c>
      <c r="E42" t="s">
        <v>2131</v>
      </c>
      <c r="F42">
        <v>1</v>
      </c>
      <c r="G42" t="str">
        <f>Překlady!$A$170</f>
        <v>Barevné provedení Třešeň havana v profilu E23 již nelze kombinovat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Barevné provedení Třešeň havana v profilu E23 již nelze kombinovat s vedením FRAME.</v>
      </c>
      <c r="N42">
        <f t="shared" si="2"/>
        <v>1</v>
      </c>
    </row>
    <row r="43" spans="1:14" x14ac:dyDescent="0.2">
      <c r="A43" s="255" t="str">
        <f>výpočty!$R$14</f>
        <v>Vertikální (ze shora dolů)</v>
      </c>
      <c r="B43" s="256" t="str">
        <f>výpočty!$R$9</f>
        <v>Dozadu</v>
      </c>
      <c r="C43" t="str">
        <f>výpočty!$R$5</f>
        <v xml:space="preserve">Frame - naložený s krycí lištou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Barevné provedení CALVADOS v profilu E23 již nelze kombinovat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Barevné provedení CALVADOS v profilu E23 již nelze kombinovat s vedením FRAME.</v>
      </c>
      <c r="N43">
        <f t="shared" si="2"/>
        <v>1</v>
      </c>
    </row>
    <row r="44" spans="1:14" x14ac:dyDescent="0.2">
      <c r="A44" s="255" t="str">
        <f>výpočty!$R$14</f>
        <v>Vertikální (ze shora dolů)</v>
      </c>
      <c r="B44" s="256" t="str">
        <f>výpočty!$R$9</f>
        <v>Dozadu</v>
      </c>
      <c r="C44" t="str">
        <f>výpočty!$R$5</f>
        <v xml:space="preserve">Frame - naložený s krycí lištou </v>
      </c>
      <c r="D44" s="36" t="str">
        <f>výpočty!$W$14</f>
        <v>Zářivě bílá mat (E9)</v>
      </c>
      <c r="E44" s="321" t="s">
        <v>2131</v>
      </c>
      <c r="F44" s="321">
        <v>1</v>
      </c>
      <c r="G44" s="321" t="str">
        <f>Překlady!$A$142</f>
        <v>Barevné provedení Zářivě bílá v profilu E9 je možné kombinovat jen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Barevné provedení Zářivě bílá v profilu E9 je možné kombinovat jen s vedením Classic a TOP.</v>
      </c>
      <c r="N44">
        <f t="shared" si="2"/>
        <v>1</v>
      </c>
    </row>
    <row r="45" spans="1:14" x14ac:dyDescent="0.2">
      <c r="A45" s="255" t="str">
        <f>výpočty!$R$14</f>
        <v>Vertikální (ze shora dolů)</v>
      </c>
      <c r="B45" s="256" t="str">
        <f>výpočty!$R$9</f>
        <v>Dozadu</v>
      </c>
      <c r="C45" t="str">
        <f>výpočty!$R$5</f>
        <v xml:space="preserve">Frame - naložený s krycí lištou </v>
      </c>
      <c r="D45" s="36" t="str">
        <f>výpočty!$W$15</f>
        <v>Hliník plast (E4)</v>
      </c>
      <c r="E45" t="s">
        <v>2131</v>
      </c>
      <c r="F45">
        <v>1</v>
      </c>
      <c r="G45" s="321" t="str">
        <f>Překlady!$A$143</f>
        <v>Barevné provedení Hliník plast v profilu E4 je vhodné na Horizontální vedení v kombinaci s vedením Classic s navíjením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Barevné provedení Hliník plast v profilu E4 je vhodné na Horizontální vedení v kombinaci s vedením Classic s navíjením dozadu.</v>
      </c>
      <c r="N45">
        <f t="shared" si="2"/>
        <v>1</v>
      </c>
    </row>
    <row r="46" spans="1:14" x14ac:dyDescent="0.2">
      <c r="A46" s="255" t="str">
        <f>výpočty!$R$14</f>
        <v>Vertikální (ze shora dolů)</v>
      </c>
      <c r="B46" s="256" t="str">
        <f>výpočty!$R$9</f>
        <v>Dozadu</v>
      </c>
      <c r="C46" t="str">
        <f>výpočty!$R$5</f>
        <v xml:space="preserve">Frame - naložený s krycí lištou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Vertikální (ze shora dolů)</v>
      </c>
      <c r="B47" s="256" t="str">
        <f>výpočty!$R$9</f>
        <v>Dozadu</v>
      </c>
      <c r="C47" t="str">
        <f>výpočty!$R$5</f>
        <v xml:space="preserve">Frame - naložený s krycí lištou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Vertikální (ze shora dolů)</v>
      </c>
      <c r="B48" s="256" t="str">
        <f>výpočty!$R$9</f>
        <v>Dozadu</v>
      </c>
      <c r="C48" t="str">
        <f>výpočty!$R$5</f>
        <v xml:space="preserve">Frame - naložený s krycí lištou </v>
      </c>
      <c r="D48" s="36" t="str">
        <f>výpočty!$W$19</f>
        <v>Hliník šířka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Vertikální (ze shora dolů)</v>
      </c>
      <c r="B49" s="256" t="str">
        <f>výpočty!$R$9</f>
        <v>Dozadu</v>
      </c>
      <c r="C49" t="str">
        <f>výpočty!$R$5</f>
        <v xml:space="preserve">Frame - naložený s krycí lištou </v>
      </c>
      <c r="D49" s="27" t="str">
        <f>výpočty!$W$20</f>
        <v>Nerez šířka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Vertikální (ze shora dolů)</v>
      </c>
      <c r="B50" s="256" t="str">
        <f>výpočty!$R$9</f>
        <v>Dozadu</v>
      </c>
      <c r="C50" t="str">
        <f>výpočty!$R$6</f>
        <v>TOP - vložený na šroubování kovový s krycí lištou</v>
      </c>
      <c r="D50" s="26" t="str">
        <f>výpočty!$W$3</f>
        <v>Černá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Vertikální (ze shora dolů)</v>
      </c>
      <c r="B51" s="256" t="str">
        <f>výpočty!$R$9</f>
        <v>Dozadu</v>
      </c>
      <c r="C51" t="str">
        <f>výpočty!$R$6</f>
        <v>TOP - vložený na šroubování kovový s krycí lištou</v>
      </c>
      <c r="D51" s="36" t="str">
        <f>výpočty!$W$4</f>
        <v>Bílá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Vertikální (ze shora dolů)</v>
      </c>
      <c r="B52" s="256" t="str">
        <f>výpočty!$R$9</f>
        <v>Dozadu</v>
      </c>
      <c r="C52" t="str">
        <f>výpočty!$R$6</f>
        <v>TOP - vložený na šroubování kovový s krycí lištou</v>
      </c>
      <c r="D52" s="36" t="str">
        <f>výpočty!$W$5</f>
        <v>Šedá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Vertikální (ze shora dolů)</v>
      </c>
      <c r="B53" s="256" t="str">
        <f>výpočty!$R$9</f>
        <v>Dozadu</v>
      </c>
      <c r="C53" t="str">
        <f>výpočty!$R$6</f>
        <v>TOP - vložený na šroubování kovový s krycí lištou</v>
      </c>
      <c r="D53" s="36" t="str">
        <f>výpočty!$W$6</f>
        <v>Hliník plast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Vertikální (ze shora dolů)</v>
      </c>
      <c r="B54" s="256" t="str">
        <f>výpočty!$R$9</f>
        <v>Dozadu</v>
      </c>
      <c r="C54" t="str">
        <f>výpočty!$R$6</f>
        <v>TOP - vložený na šroubování kovový s krycí lištou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Vertikální (ze shora dolů)</v>
      </c>
      <c r="B55" s="256" t="str">
        <f>výpočty!$R$9</f>
        <v>Dozadu</v>
      </c>
      <c r="C55" t="str">
        <f>výpočty!$R$6</f>
        <v>TOP - vložený na šroubování kovový s krycí lištou</v>
      </c>
      <c r="D55" s="36" t="str">
        <f>výpočty!$W$8</f>
        <v>Třešeň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Vertikální (ze shora dolů)</v>
      </c>
      <c r="B56" s="256" t="str">
        <f>výpočty!$R$9</f>
        <v>Dozadu</v>
      </c>
      <c r="C56" t="str">
        <f>výpočty!$R$6</f>
        <v>TOP - vložený na šroubování kovový s krycí lištou</v>
      </c>
      <c r="D56" s="36" t="str">
        <f>výpočty!$W$9</f>
        <v>Javor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Vertikální (ze shora dolů)</v>
      </c>
      <c r="B57" s="256" t="str">
        <f>výpočty!$R$9</f>
        <v>Dozadu</v>
      </c>
      <c r="C57" t="str">
        <f>výpočty!$R$6</f>
        <v>TOP - vložený na šroubování kovový s krycí lištou</v>
      </c>
      <c r="D57" s="36" t="str">
        <f>výpočty!$W$10</f>
        <v>Bříza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Vertikální (ze shora dolů)</v>
      </c>
      <c r="B58" s="256" t="str">
        <f>výpočty!$R$9</f>
        <v>Dozadu</v>
      </c>
      <c r="C58" t="str">
        <f>výpočty!$R$6</f>
        <v>TOP - vložený na šroubování kovový s krycí lištou</v>
      </c>
      <c r="D58" s="36" t="str">
        <f>výpočty!$W$11</f>
        <v>Třešeň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Vertikální (ze shora dolů)</v>
      </c>
      <c r="B59" s="256" t="str">
        <f>výpočty!$R$9</f>
        <v>Dozadu</v>
      </c>
      <c r="C59" t="str">
        <f>výpočty!$R$6</f>
        <v>TOP - vložený na šroubování kovový s krycí lištou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Vertikální (ze shora dolů)</v>
      </c>
      <c r="B60" s="256" t="str">
        <f>výpočty!$R$9</f>
        <v>Dozadu</v>
      </c>
      <c r="C60" t="str">
        <f>výpočty!$R$6</f>
        <v>TOP - vložený na šroubování kovový s krycí lištou</v>
      </c>
      <c r="D60" s="350" t="str">
        <f>výpočty!$W$14</f>
        <v>Zářivě bílá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Vertikální (ze shora dolů)</v>
      </c>
      <c r="B61" s="256" t="str">
        <f>výpočty!$R$9</f>
        <v>Dozadu</v>
      </c>
      <c r="C61" t="str">
        <f>výpočty!$R$6</f>
        <v>TOP - vložený na šroubování kovový s krycí lištou</v>
      </c>
      <c r="D61" s="36" t="str">
        <f>výpočty!$W$15</f>
        <v>Hliník plast (E4)</v>
      </c>
      <c r="E61" t="s">
        <v>2131</v>
      </c>
      <c r="F61">
        <v>1</v>
      </c>
      <c r="G61" s="321" t="str">
        <f>Překlady!$A$143</f>
        <v>Barevné provedení Hliník plast v profilu E4 je vhodné na Horizontální vedení v kombinaci s vedením Classic s navíjením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Barevné provedení Hliník plast v profilu E4 je vhodné na Horizontální vedení v kombinaci s vedením Classic s navíjením dozadu.</v>
      </c>
      <c r="N61">
        <f t="shared" si="2"/>
        <v>1</v>
      </c>
    </row>
    <row r="62" spans="1:14" x14ac:dyDescent="0.2">
      <c r="A62" s="255" t="str">
        <f>výpočty!$R$14</f>
        <v>Vertikální (ze shora dolů)</v>
      </c>
      <c r="B62" s="256" t="str">
        <f>výpočty!$R$9</f>
        <v>Dozadu</v>
      </c>
      <c r="C62" t="str">
        <f>výpočty!$R$6</f>
        <v>TOP - vložený na šroubování kovový s krycí lištou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Vertikální (ze shora dolů)</v>
      </c>
      <c r="B63" s="256" t="str">
        <f>výpočty!$R$9</f>
        <v>Dozadu</v>
      </c>
      <c r="C63" t="str">
        <f>výpočty!$R$6</f>
        <v>TOP - vložený na šroubování kovový s krycí lištou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Vertikální (ze shora dolů)</v>
      </c>
      <c r="B64" s="256" t="str">
        <f>výpočty!$R$9</f>
        <v>Dozadu</v>
      </c>
      <c r="C64" t="str">
        <f>výpočty!$R$6</f>
        <v>TOP - vložený na šroubování kovový s krycí lištou</v>
      </c>
      <c r="D64" s="36" t="str">
        <f>výpočty!$W$19</f>
        <v>Hliník šířka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Vertikální (ze shora dolů)</v>
      </c>
      <c r="B65" s="256" t="str">
        <f>výpočty!$R$9</f>
        <v>Dozadu</v>
      </c>
      <c r="C65" t="str">
        <f>výpočty!$R$6</f>
        <v>TOP - vložený na šroubování kovový s krycí lištou</v>
      </c>
      <c r="D65" s="27" t="str">
        <f>výpočty!$W$20</f>
        <v>Nerez šířka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Vertikální (ze shora dolů)</v>
      </c>
      <c r="B66" s="256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Černá (E23)</v>
      </c>
      <c r="E66" t="s">
        <v>2131</v>
      </c>
      <c r="F66">
        <v>1</v>
      </c>
      <c r="G66" s="321" t="str">
        <f>Překlady!$A$146</f>
        <v>Systém vedení Naložený s metallic-line vedením 29mm a mech. C3  je možné kombinovat jen se systémem navíjení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vedení Naložený s metallic-line vedením 29mm a mech. C3  je možné kombinovat jen se systémem navíjení na mechaniku C3.</v>
      </c>
      <c r="N66">
        <f t="shared" si="2"/>
        <v>1</v>
      </c>
    </row>
    <row r="67" spans="1:14" x14ac:dyDescent="0.2">
      <c r="A67" s="255" t="str">
        <f>výpočty!$R$14</f>
        <v>Vertikální (ze shora dolů)</v>
      </c>
      <c r="B67" s="256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Bílá (E23)</v>
      </c>
      <c r="E67" t="s">
        <v>2131</v>
      </c>
      <c r="F67">
        <v>1</v>
      </c>
      <c r="G67" s="321" t="str">
        <f>Překlady!$A$146</f>
        <v>Systém vedení Naložený s metallic-line vedením 29mm a mech. C3  je možné kombinovat jen se systémem navíjení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vedení Naložený s metallic-line vedením 29mm a mech. C3  je možné kombinovat jen se systémem navíjení na mechaniku C3.</v>
      </c>
      <c r="N67">
        <f t="shared" ref="N67:N130" si="5">F:F</f>
        <v>1</v>
      </c>
    </row>
    <row r="68" spans="1:14" x14ac:dyDescent="0.2">
      <c r="A68" s="255" t="str">
        <f>výpočty!$R$14</f>
        <v>Vertikální (ze shora dolů)</v>
      </c>
      <c r="B68" s="256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2131</v>
      </c>
      <c r="F68">
        <v>1</v>
      </c>
      <c r="G68" s="321" t="str">
        <f>Překlady!$A$146</f>
        <v>Systém vedení Naložený s metallic-line vedením 29mm a mech. C3  je možné kombinovat jen se systémem navíjení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vedení Naložený s metallic-line vedením 29mm a mech. C3  je možné kombinovat jen se systémem navíjení na mechaniku C3.</v>
      </c>
      <c r="N68">
        <f t="shared" si="5"/>
        <v>1</v>
      </c>
    </row>
    <row r="69" spans="1:14" x14ac:dyDescent="0.2">
      <c r="A69" s="255" t="str">
        <f>výpočty!$R$14</f>
        <v>Vertikální (ze shora dolů)</v>
      </c>
      <c r="B69" s="256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2131</v>
      </c>
      <c r="F69">
        <v>1</v>
      </c>
      <c r="G69" s="321" t="str">
        <f>Překlady!$A$146</f>
        <v>Systém vedení Naložený s metallic-line vedením 29mm a mech. C3  je možné kombinovat jen se systémem navíjení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vedení Naložený s metallic-line vedením 29mm a mech. C3  je možné kombinovat jen se systémem navíjení na mechaniku C3.</v>
      </c>
      <c r="N69">
        <f t="shared" si="5"/>
        <v>1</v>
      </c>
    </row>
    <row r="70" spans="1:14" x14ac:dyDescent="0.2">
      <c r="A70" s="255" t="str">
        <f>výpočty!$R$14</f>
        <v>Vertikální (ze shora dolů)</v>
      </c>
      <c r="B70" s="256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Systém vedení Naložený s metallic-line vedením 29mm a mech. C3  je možné kombinovat jen se systémem navíjení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vedení Naložený s metallic-line vedením 29mm a mech. C3  je možné kombinovat jen se systémem navíjení na mechaniku C3.</v>
      </c>
      <c r="N70">
        <f t="shared" si="5"/>
        <v>1</v>
      </c>
    </row>
    <row r="71" spans="1:14" x14ac:dyDescent="0.2">
      <c r="A71" s="255" t="str">
        <f>výpočty!$R$14</f>
        <v>Vertikální (ze shora dolů)</v>
      </c>
      <c r="B71" s="256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Třešeň (E23)</v>
      </c>
      <c r="E71" t="s">
        <v>2131</v>
      </c>
      <c r="F71">
        <v>1</v>
      </c>
      <c r="G71" s="321" t="str">
        <f>Překlady!$A$146</f>
        <v>Systém vedení Naložený s metallic-line vedením 29mm a mech. C3  je možné kombinovat jen se systémem navíjení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vedení Naložený s metallic-line vedením 29mm a mech. C3  je možné kombinovat jen se systémem navíjení na mechaniku C3.</v>
      </c>
      <c r="N71">
        <f t="shared" si="5"/>
        <v>1</v>
      </c>
    </row>
    <row r="72" spans="1:14" x14ac:dyDescent="0.2">
      <c r="A72" s="255" t="str">
        <f>výpočty!$R$14</f>
        <v>Vertikální (ze shora dolů)</v>
      </c>
      <c r="B72" s="256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2131</v>
      </c>
      <c r="F72">
        <v>1</v>
      </c>
      <c r="G72" s="321" t="str">
        <f>Překlady!$A$146</f>
        <v>Systém vedení Naložený s metallic-line vedením 29mm a mech. C3  je možné kombinovat jen se systémem navíjení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vedení Naložený s metallic-line vedením 29mm a mech. C3  je možné kombinovat jen se systémem navíjení na mechaniku C3.</v>
      </c>
      <c r="N72">
        <f t="shared" si="5"/>
        <v>1</v>
      </c>
    </row>
    <row r="73" spans="1:14" x14ac:dyDescent="0.2">
      <c r="A73" s="255" t="str">
        <f>výpočty!$R$14</f>
        <v>Vertikální (ze shora dolů)</v>
      </c>
      <c r="B73" s="256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Bříza (E23)</v>
      </c>
      <c r="E73" t="s">
        <v>2131</v>
      </c>
      <c r="F73">
        <v>1</v>
      </c>
      <c r="G73" s="321" t="str">
        <f>Překlady!$A$146</f>
        <v>Systém vedení Naložený s metallic-line vedením 29mm a mech. C3  je možné kombinovat jen se systémem navíjení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vedení Naložený s metallic-line vedením 29mm a mech. C3  je možné kombinovat jen se systémem navíjení na mechaniku C3.</v>
      </c>
      <c r="N73">
        <f t="shared" si="5"/>
        <v>1</v>
      </c>
    </row>
    <row r="74" spans="1:14" x14ac:dyDescent="0.2">
      <c r="A74" s="255" t="str">
        <f>výpočty!$R$14</f>
        <v>Vertikální (ze shora dolů)</v>
      </c>
      <c r="B74" s="256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Třešeň havana (E23)</v>
      </c>
      <c r="E74" t="s">
        <v>2131</v>
      </c>
      <c r="F74">
        <v>1</v>
      </c>
      <c r="G74" s="321" t="str">
        <f>Překlady!$A$146</f>
        <v>Systém vedení Naložený s metallic-line vedením 29mm a mech. C3  je možné kombinovat jen se systémem navíjení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vedení Naložený s metallic-line vedením 29mm a mech. C3  je možné kombinovat jen se systémem navíjení na mechaniku C3.</v>
      </c>
      <c r="N74">
        <f t="shared" si="5"/>
        <v>1</v>
      </c>
    </row>
    <row r="75" spans="1:14" x14ac:dyDescent="0.2">
      <c r="A75" s="255" t="str">
        <f>výpočty!$R$14</f>
        <v>Vertikální (ze shora dolů)</v>
      </c>
      <c r="B75" s="256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Systém vedení Naložený s metallic-line vedením 29mm a mech. C3  je možné kombinovat jen se systémem navíjení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vedení Naložený s metallic-line vedením 29mm a mech. C3  je možné kombinovat jen se systémem navíjení na mechaniku C3.</v>
      </c>
      <c r="N75">
        <f t="shared" si="5"/>
        <v>1</v>
      </c>
    </row>
    <row r="76" spans="1:14" x14ac:dyDescent="0.2">
      <c r="A76" s="255" t="str">
        <f>výpočty!$R$14</f>
        <v>Vertikální (ze shora dolů)</v>
      </c>
      <c r="B76" s="256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Zářivě bílá mat (E9)</v>
      </c>
      <c r="E76" t="s">
        <v>2131</v>
      </c>
      <c r="F76">
        <v>1</v>
      </c>
      <c r="G76" s="321" t="str">
        <f>Překlady!$A$142</f>
        <v>Barevné provedení Zářivě bílá v profilu E9 je možné kombinovat jen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Barevné provedení Zářivě bílá v profilu E9 je možné kombinovat jen s vedením Classic a TOP.</v>
      </c>
      <c r="N76">
        <f t="shared" si="5"/>
        <v>1</v>
      </c>
    </row>
    <row r="77" spans="1:14" x14ac:dyDescent="0.2">
      <c r="A77" s="255" t="str">
        <f>výpočty!$R$14</f>
        <v>Vertikální (ze shora dolů)</v>
      </c>
      <c r="B77" s="256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2131</v>
      </c>
      <c r="F77">
        <v>1</v>
      </c>
      <c r="G77" s="321" t="str">
        <f>Překlady!$A$143</f>
        <v>Barevné provedení Hliník plast v profilu E4 je vhodné na Horizontální vedení v kombinaci s vedením Classic s navíjením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Barevné provedení Hliník plast v profilu E4 je vhodné na Horizontální vedení v kombinaci s vedením Classic s navíjením dozadu.</v>
      </c>
      <c r="N77">
        <f t="shared" si="5"/>
        <v>1</v>
      </c>
    </row>
    <row r="78" spans="1:14" x14ac:dyDescent="0.2">
      <c r="A78" s="255" t="str">
        <f>výpočty!$R$14</f>
        <v>Vertikální (ze shora dolů)</v>
      </c>
      <c r="B78" s="256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Systém vedení Naložený s metallic-line vedením 29mm a mech. C3  je možné kombinovat jen se systémem navíjení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vedení Naložený s metallic-line vedením 29mm a mech. C3  je možné kombinovat jen se systémem navíjení na mechaniku C3.</v>
      </c>
      <c r="N78">
        <f t="shared" si="5"/>
        <v>0</v>
      </c>
    </row>
    <row r="79" spans="1:14" x14ac:dyDescent="0.2">
      <c r="A79" s="255" t="str">
        <f>výpočty!$R$14</f>
        <v>Vertikální (ze shora dolů)</v>
      </c>
      <c r="B79" s="256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Systém vedení Naložený s metallic-line vedením 29mm a mech. C3  je možné kombinovat jen se systémem navíjení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vedení Naložený s metallic-line vedením 29mm a mech. C3  je možné kombinovat jen se systémem navíjení na mechaniku C3.</v>
      </c>
      <c r="N79">
        <f t="shared" si="5"/>
        <v>0</v>
      </c>
    </row>
    <row r="80" spans="1:14" x14ac:dyDescent="0.2">
      <c r="A80" s="255" t="str">
        <f>výpočty!$R$14</f>
        <v>Vertikální (ze shora dolů)</v>
      </c>
      <c r="B80" s="256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šířka 25 mm (metallic-line)</v>
      </c>
      <c r="E80" s="321" t="s">
        <v>2131</v>
      </c>
      <c r="F80">
        <v>0</v>
      </c>
      <c r="G80" s="321" t="str">
        <f>Překlady!$A$146</f>
        <v>Systém vedení Naložený s metallic-line vedením 29mm a mech. C3  je možné kombinovat jen se systémem navíjení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vedení Naložený s metallic-line vedením 29mm a mech. C3  je možné kombinovat jen se systémem navíjení na mechaniku C3.</v>
      </c>
      <c r="N80">
        <f t="shared" si="5"/>
        <v>0</v>
      </c>
    </row>
    <row r="81" spans="1:14" ht="13.5" thickBot="1" x14ac:dyDescent="0.25">
      <c r="A81" s="255" t="str">
        <f>výpočty!$R$14</f>
        <v>Vertikální (ze shora dolů)</v>
      </c>
      <c r="B81" s="256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šířka 25 mm (metallic-line)</v>
      </c>
      <c r="E81" s="321" t="s">
        <v>2131</v>
      </c>
      <c r="F81">
        <v>0</v>
      </c>
      <c r="G81" s="321" t="str">
        <f>Překlady!$A$146</f>
        <v>Systém vedení Naložený s metallic-line vedením 29mm a mech. C3  je možné kombinovat jen se systémem navíjení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vedení Naložený s metallic-line vedením 29mm a mech. C3  je možné kombinovat jen se systémem navíjení na mechaniku C3.</v>
      </c>
      <c r="N81">
        <f t="shared" si="5"/>
        <v>0</v>
      </c>
    </row>
    <row r="82" spans="1:14" x14ac:dyDescent="0.2">
      <c r="A82" s="255" t="str">
        <f>výpočty!$R$14</f>
        <v>Vertikální (ze shora dolů)</v>
      </c>
      <c r="B82" s="256" t="str">
        <f>výpočty!$R$10</f>
        <v>Do šneku</v>
      </c>
      <c r="C82" t="str">
        <f>výpočty!$R$3</f>
        <v>TOP Basic - vložený na šroubování plastový</v>
      </c>
      <c r="D82" s="26" t="str">
        <f>výpočty!$W$3</f>
        <v>Černá (E23)</v>
      </c>
      <c r="E82" t="s">
        <v>2131</v>
      </c>
      <c r="F82">
        <v>1</v>
      </c>
      <c r="G82" t="str">
        <f>Překlady!$A$147</f>
        <v>Systém vedení TOP BASIC není přizpůsoben pro kombinaci s vedením do šneku. Doporučujeme zvolit verzi vedení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vedení TOP BASIC není přizpůsoben pro kombinaci s vedením do šneku. Doporučujeme zvolit verzi vedení TOP.</v>
      </c>
      <c r="N82">
        <f t="shared" si="5"/>
        <v>1</v>
      </c>
    </row>
    <row r="83" spans="1:14" x14ac:dyDescent="0.2">
      <c r="A83" s="255" t="str">
        <f>výpočty!$R$14</f>
        <v>Vertikální (ze shora dolů)</v>
      </c>
      <c r="B83" s="256" t="str">
        <f>výpočty!$R$10</f>
        <v>Do šneku</v>
      </c>
      <c r="C83" t="str">
        <f>výpočty!$R$3</f>
        <v>TOP Basic - vložený na šroubování plastový</v>
      </c>
      <c r="D83" s="36" t="str">
        <f>výpočty!$W$4</f>
        <v>Bílá (E23)</v>
      </c>
      <c r="E83" t="s">
        <v>2131</v>
      </c>
      <c r="F83">
        <v>1</v>
      </c>
      <c r="G83" t="str">
        <f>Překlady!$A$147</f>
        <v>Systém vedení TOP BASIC není přizpůsoben pro kombinaci s vedením do šneku. Doporučujeme zvolit verzi vedení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vedení TOP BASIC není přizpůsoben pro kombinaci s vedením do šneku. Doporučujeme zvolit verzi vedení TOP.</v>
      </c>
      <c r="N83">
        <f t="shared" si="5"/>
        <v>1</v>
      </c>
    </row>
    <row r="84" spans="1:14" x14ac:dyDescent="0.2">
      <c r="A84" s="255" t="str">
        <f>výpočty!$R$14</f>
        <v>Vertikální (ze shora dolů)</v>
      </c>
      <c r="B84" s="256" t="str">
        <f>výpočty!$R$10</f>
        <v>Do šneku</v>
      </c>
      <c r="C84" t="str">
        <f>výpočty!$R$3</f>
        <v>TOP Basic - vložený na šroubování plastový</v>
      </c>
      <c r="D84" s="36" t="str">
        <f>výpočty!$W$5</f>
        <v>Šedá (E23)</v>
      </c>
      <c r="E84" t="s">
        <v>2131</v>
      </c>
      <c r="F84">
        <v>1</v>
      </c>
      <c r="G84" t="str">
        <f>Překlady!$A$147</f>
        <v>Systém vedení TOP BASIC není přizpůsoben pro kombinaci s vedením do šneku. Doporučujeme zvolit verzi vedení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vedení TOP BASIC není přizpůsoben pro kombinaci s vedením do šneku. Doporučujeme zvolit verzi vedení TOP.</v>
      </c>
      <c r="N84">
        <f t="shared" si="5"/>
        <v>1</v>
      </c>
    </row>
    <row r="85" spans="1:14" x14ac:dyDescent="0.2">
      <c r="A85" s="255" t="str">
        <f>výpočty!$R$14</f>
        <v>Vertikální (ze shora dolů)</v>
      </c>
      <c r="B85" s="256" t="str">
        <f>výpočty!$R$10</f>
        <v>Do šneku</v>
      </c>
      <c r="C85" t="str">
        <f>výpočty!$R$3</f>
        <v>TOP Basic - vložený na šroubování plastový</v>
      </c>
      <c r="D85" s="36" t="str">
        <f>výpočty!$W$6</f>
        <v>Hliník plast (E23)</v>
      </c>
      <c r="E85" t="s">
        <v>2131</v>
      </c>
      <c r="F85">
        <v>1</v>
      </c>
      <c r="G85" t="str">
        <f>Překlady!$A$147</f>
        <v>Systém vedení TOP BASIC není přizpůsoben pro kombinaci s vedením do šneku. Doporučujeme zvolit verzi vedení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vedení TOP BASIC není přizpůsoben pro kombinaci s vedením do šneku. Doporučujeme zvolit verzi vedení TOP.</v>
      </c>
      <c r="N85">
        <f t="shared" si="5"/>
        <v>1</v>
      </c>
    </row>
    <row r="86" spans="1:14" x14ac:dyDescent="0.2">
      <c r="A86" s="255" t="str">
        <f>výpočty!$R$14</f>
        <v>Vertikální (ze shora dolů)</v>
      </c>
      <c r="B86" s="256" t="str">
        <f>výpočty!$R$10</f>
        <v>Do šneku</v>
      </c>
      <c r="C86" t="str">
        <f>výpočty!$R$3</f>
        <v>TOP Basic - vložený na šroubování plastový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Systém vedení TOP BASIC není přizpůsoben pro kombinaci s vedením do šneku. Doporučujeme zvolit verzi vedení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vedení TOP BASIC není přizpůsoben pro kombinaci s vedením do šneku. Doporučujeme zvolit verzi vedení TOP.</v>
      </c>
      <c r="N86">
        <f t="shared" si="5"/>
        <v>1</v>
      </c>
    </row>
    <row r="87" spans="1:14" x14ac:dyDescent="0.2">
      <c r="A87" s="255" t="str">
        <f>výpočty!$R$14</f>
        <v>Vertikální (ze shora dolů)</v>
      </c>
      <c r="B87" s="256" t="str">
        <f>výpočty!$R$10</f>
        <v>Do šneku</v>
      </c>
      <c r="C87" t="str">
        <f>výpočty!$R$3</f>
        <v>TOP Basic - vložený na šroubování plastový</v>
      </c>
      <c r="D87" s="36" t="str">
        <f>výpočty!$W$8</f>
        <v>Třešeň (E23)</v>
      </c>
      <c r="E87" t="s">
        <v>2131</v>
      </c>
      <c r="F87">
        <v>1</v>
      </c>
      <c r="G87" t="str">
        <f>Překlady!$A$147</f>
        <v>Systém vedení TOP BASIC není přizpůsoben pro kombinaci s vedením do šneku. Doporučujeme zvolit verzi vedení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vedení TOP BASIC není přizpůsoben pro kombinaci s vedením do šneku. Doporučujeme zvolit verzi vedení TOP.</v>
      </c>
      <c r="N87">
        <f t="shared" si="5"/>
        <v>1</v>
      </c>
    </row>
    <row r="88" spans="1:14" x14ac:dyDescent="0.2">
      <c r="A88" s="255" t="str">
        <f>výpočty!$R$14</f>
        <v>Vertikální (ze shora dolů)</v>
      </c>
      <c r="B88" s="256" t="str">
        <f>výpočty!$R$10</f>
        <v>Do šneku</v>
      </c>
      <c r="C88" t="str">
        <f>výpočty!$R$3</f>
        <v>TOP Basic - vložený na šroubování plastový</v>
      </c>
      <c r="D88" s="36" t="str">
        <f>výpočty!$W$9</f>
        <v>Javor (E23)</v>
      </c>
      <c r="E88" t="s">
        <v>2131</v>
      </c>
      <c r="F88">
        <v>1</v>
      </c>
      <c r="G88" t="str">
        <f>Překlady!$A$147</f>
        <v>Systém vedení TOP BASIC není přizpůsoben pro kombinaci s vedením do šneku. Doporučujeme zvolit verzi vedení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vedení TOP BASIC není přizpůsoben pro kombinaci s vedením do šneku. Doporučujeme zvolit verzi vedení TOP.</v>
      </c>
      <c r="N88">
        <f t="shared" si="5"/>
        <v>1</v>
      </c>
    </row>
    <row r="89" spans="1:14" x14ac:dyDescent="0.2">
      <c r="A89" s="255" t="str">
        <f>výpočty!$R$14</f>
        <v>Vertikální (ze shora dolů)</v>
      </c>
      <c r="B89" s="256" t="str">
        <f>výpočty!$R$10</f>
        <v>Do šneku</v>
      </c>
      <c r="C89" t="str">
        <f>výpočty!$R$3</f>
        <v>TOP Basic - vložený na šroubování plastový</v>
      </c>
      <c r="D89" s="36" t="str">
        <f>výpočty!$W$10</f>
        <v>Bříza (E23)</v>
      </c>
      <c r="E89" t="s">
        <v>2131</v>
      </c>
      <c r="F89">
        <v>1</v>
      </c>
      <c r="G89" t="str">
        <f>Překlady!$A$147</f>
        <v>Systém vedení TOP BASIC není přizpůsoben pro kombinaci s vedením do šneku. Doporučujeme zvolit verzi vedení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vedení TOP BASIC není přizpůsoben pro kombinaci s vedením do šneku. Doporučujeme zvolit verzi vedení TOP.</v>
      </c>
      <c r="N89">
        <f t="shared" si="5"/>
        <v>1</v>
      </c>
    </row>
    <row r="90" spans="1:14" x14ac:dyDescent="0.2">
      <c r="A90" s="255" t="str">
        <f>výpočty!$R$14</f>
        <v>Vertikální (ze shora dolů)</v>
      </c>
      <c r="B90" s="256" t="str">
        <f>výpočty!$R$10</f>
        <v>Do šneku</v>
      </c>
      <c r="C90" t="str">
        <f>výpočty!$R$3</f>
        <v>TOP Basic - vložený na šroubování plastový</v>
      </c>
      <c r="D90" s="36" t="str">
        <f>výpočty!$W$11</f>
        <v>Třešeň havana (E23)</v>
      </c>
      <c r="E90" t="s">
        <v>2131</v>
      </c>
      <c r="F90">
        <v>1</v>
      </c>
      <c r="G90" t="str">
        <f>Překlady!$A$147</f>
        <v>Systém vedení TOP BASIC není přizpůsoben pro kombinaci s vedením do šneku. Doporučujeme zvolit verzi vedení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vedení TOP BASIC není přizpůsoben pro kombinaci s vedením do šneku. Doporučujeme zvolit verzi vedení TOP.</v>
      </c>
      <c r="N90">
        <f t="shared" si="5"/>
        <v>1</v>
      </c>
    </row>
    <row r="91" spans="1:14" x14ac:dyDescent="0.2">
      <c r="A91" s="255" t="str">
        <f>výpočty!$R$14</f>
        <v>Vertikální (ze shora dolů)</v>
      </c>
      <c r="B91" s="256" t="str">
        <f>výpočty!$R$10</f>
        <v>Do šneku</v>
      </c>
      <c r="C91" t="str">
        <f>výpočty!$R$3</f>
        <v>TOP Basic - vložený na šroubování plastový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Systém vedení TOP BASIC není přizpůsoben pro kombinaci s vedením do šneku. Doporučujeme zvolit verzi vedení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vedení TOP BASIC není přizpůsoben pro kombinaci s vedením do šneku. Doporučujeme zvolit verzi vedení TOP.</v>
      </c>
      <c r="N91">
        <f t="shared" si="5"/>
        <v>1</v>
      </c>
    </row>
    <row r="92" spans="1:14" x14ac:dyDescent="0.2">
      <c r="A92" s="255" t="str">
        <f>výpočty!$R$14</f>
        <v>Vertikální (ze shora dolů)</v>
      </c>
      <c r="B92" s="256" t="str">
        <f>výpočty!$R$10</f>
        <v>Do šneku</v>
      </c>
      <c r="C92" t="str">
        <f>výpočty!$R$3</f>
        <v>TOP Basic - vložený na šroubování plastový</v>
      </c>
      <c r="D92" s="36" t="str">
        <f>výpočty!$W$14</f>
        <v>Zářivě bílá mat (E9)</v>
      </c>
      <c r="E92" t="s">
        <v>2131</v>
      </c>
      <c r="F92">
        <v>1</v>
      </c>
      <c r="G92" s="321" t="str">
        <f>Překlady!$A$142</f>
        <v>Barevné provedení Zářivě bílá v profilu E9 je možné kombinovat jen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Barevné provedení Zářivě bílá v profilu E9 je možné kombinovat jen s vedením Classic a TOP.</v>
      </c>
      <c r="N92">
        <f t="shared" si="5"/>
        <v>1</v>
      </c>
    </row>
    <row r="93" spans="1:14" x14ac:dyDescent="0.2">
      <c r="A93" s="255" t="str">
        <f>výpočty!$R$14</f>
        <v>Vertikální (ze shora dolů)</v>
      </c>
      <c r="B93" s="256" t="str">
        <f>výpočty!$R$10</f>
        <v>Do šneku</v>
      </c>
      <c r="C93" t="str">
        <f>výpočty!$R$3</f>
        <v>TOP Basic - vložený na šroubování plastový</v>
      </c>
      <c r="D93" s="36" t="str">
        <f>výpočty!$W$15</f>
        <v>Hliník plast (E4)</v>
      </c>
      <c r="E93" t="s">
        <v>2131</v>
      </c>
      <c r="F93">
        <v>1</v>
      </c>
      <c r="G93" s="321" t="str">
        <f>Překlady!$A$143</f>
        <v>Barevné provedení Hliník plast v profilu E4 je vhodné na Horizontální vedení v kombinaci s vedením Classic s navíjením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Barevné provedení Hliník plast v profilu E4 je vhodné na Horizontální vedení v kombinaci s vedením Classic s navíjením dozadu.</v>
      </c>
      <c r="N93">
        <f t="shared" si="5"/>
        <v>1</v>
      </c>
    </row>
    <row r="94" spans="1:14" x14ac:dyDescent="0.2">
      <c r="A94" s="255" t="str">
        <f>výpočty!$R$14</f>
        <v>Vertikální (ze shora dolů)</v>
      </c>
      <c r="B94" s="256" t="str">
        <f>výpočty!$R$10</f>
        <v>Do šneku</v>
      </c>
      <c r="C94" t="str">
        <f>výpočty!$R$3</f>
        <v>TOP Basic - vložený na šroubování plastový</v>
      </c>
      <c r="D94" s="36">
        <f>výpočty!$W$17</f>
        <v>0</v>
      </c>
      <c r="E94" t="s">
        <v>2131</v>
      </c>
      <c r="F94">
        <v>1</v>
      </c>
      <c r="G94" t="str">
        <f>Překlady!$A$147</f>
        <v>Systém vedení TOP BASIC není přizpůsoben pro kombinaci s vedením do šneku. Doporučujeme zvolit verzi vedení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vedení TOP BASIC není přizpůsoben pro kombinaci s vedením do šneku. Doporučujeme zvolit verzi vedení TOP.</v>
      </c>
      <c r="N94">
        <f t="shared" si="5"/>
        <v>1</v>
      </c>
    </row>
    <row r="95" spans="1:14" x14ac:dyDescent="0.2">
      <c r="A95" s="255" t="str">
        <f>výpočty!$R$14</f>
        <v>Vertikální (ze shora dolů)</v>
      </c>
      <c r="B95" s="256" t="str">
        <f>výpočty!$R$10</f>
        <v>Do šneku</v>
      </c>
      <c r="C95" t="str">
        <f>výpočty!$R$3</f>
        <v>TOP Basic - vložený na šroubování plastový</v>
      </c>
      <c r="D95" s="36">
        <f>výpočty!$W$18</f>
        <v>0</v>
      </c>
      <c r="E95" t="s">
        <v>2131</v>
      </c>
      <c r="F95">
        <v>1</v>
      </c>
      <c r="G95" t="str">
        <f>Překlady!$A$147</f>
        <v>Systém vedení TOP BASIC není přizpůsoben pro kombinaci s vedením do šneku. Doporučujeme zvolit verzi vedení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vedení TOP BASIC není přizpůsoben pro kombinaci s vedením do šneku. Doporučujeme zvolit verzi vedení TOP.</v>
      </c>
      <c r="N95">
        <f t="shared" si="5"/>
        <v>1</v>
      </c>
    </row>
    <row r="96" spans="1:14" x14ac:dyDescent="0.2">
      <c r="A96" s="255" t="str">
        <f>výpočty!$R$14</f>
        <v>Vertikální (ze shora dolů)</v>
      </c>
      <c r="B96" s="256" t="str">
        <f>výpočty!$R$10</f>
        <v>Do šneku</v>
      </c>
      <c r="C96" t="str">
        <f>výpočty!$R$3</f>
        <v>TOP Basic - vložený na šroubování plastový</v>
      </c>
      <c r="D96" s="36" t="str">
        <f>výpočty!$W$19</f>
        <v>Hliník šířka 25 mm (metallic-line)</v>
      </c>
      <c r="E96" t="s">
        <v>2131</v>
      </c>
      <c r="F96">
        <v>1</v>
      </c>
      <c r="G96" t="str">
        <f>Překlady!$A$147</f>
        <v>Systém vedení TOP BASIC není přizpůsoben pro kombinaci s vedením do šneku. Doporučujeme zvolit verzi vedení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vedení TOP BASIC není přizpůsoben pro kombinaci s vedením do šneku. Doporučujeme zvolit verzi vedení TOP.</v>
      </c>
      <c r="N96">
        <f t="shared" si="5"/>
        <v>1</v>
      </c>
    </row>
    <row r="97" spans="1:14" ht="13.5" thickBot="1" x14ac:dyDescent="0.25">
      <c r="A97" s="255" t="str">
        <f>výpočty!$R$14</f>
        <v>Vertikální (ze shora dolů)</v>
      </c>
      <c r="B97" s="256" t="str">
        <f>výpočty!$R$10</f>
        <v>Do šneku</v>
      </c>
      <c r="C97" t="str">
        <f>výpočty!$R$3</f>
        <v>TOP Basic - vložený na šroubování plastový</v>
      </c>
      <c r="D97" s="27" t="str">
        <f>výpočty!$W$20</f>
        <v>Nerez šířka 25 mm (metallic-line)</v>
      </c>
      <c r="E97" t="s">
        <v>2131</v>
      </c>
      <c r="F97">
        <v>1</v>
      </c>
      <c r="G97" t="str">
        <f>Překlady!$A$147</f>
        <v>Systém vedení TOP BASIC není přizpůsoben pro kombinaci s vedením do šneku. Doporučujeme zvolit verzi vedení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vedení TOP BASIC není přizpůsoben pro kombinaci s vedením do šneku. Doporučujeme zvolit verzi vedení TOP.</v>
      </c>
      <c r="N97">
        <f t="shared" si="5"/>
        <v>1</v>
      </c>
    </row>
    <row r="98" spans="1:14" x14ac:dyDescent="0.2">
      <c r="A98" s="255" t="str">
        <f>výpočty!$R$14</f>
        <v>Vertikální (ze shora dolů)</v>
      </c>
      <c r="B98" s="256" t="str">
        <f>výpočty!$R$10</f>
        <v>Do šneku</v>
      </c>
      <c r="C98" t="str">
        <f>výpočty!$R$4</f>
        <v>Classic - vložený na zafrézování</v>
      </c>
      <c r="D98" s="26" t="str">
        <f>výpočty!$W$3</f>
        <v>Černá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Vertikální (ze shora dolů)</v>
      </c>
      <c r="B99" s="256" t="str">
        <f>výpočty!$R$10</f>
        <v>Do šneku</v>
      </c>
      <c r="C99" t="str">
        <f>výpočty!$R$4</f>
        <v>Classic - vložený na zafrézování</v>
      </c>
      <c r="D99" s="36" t="str">
        <f>výpočty!$W$4</f>
        <v>Bílá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Vertikální (ze shora dolů)</v>
      </c>
      <c r="B100" s="256" t="str">
        <f>výpočty!$R$10</f>
        <v>Do šneku</v>
      </c>
      <c r="C100" t="str">
        <f>výpočty!$R$4</f>
        <v>Classic - vložený na zafrézování</v>
      </c>
      <c r="D100" s="36" t="str">
        <f>výpočty!$W$5</f>
        <v>Šedá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Vertikální (ze shora dolů)</v>
      </c>
      <c r="B101" s="256" t="str">
        <f>výpočty!$R$10</f>
        <v>Do šneku</v>
      </c>
      <c r="C101" t="str">
        <f>výpočty!$R$4</f>
        <v>Classic - vložený na zafrézování</v>
      </c>
      <c r="D101" s="36" t="str">
        <f>výpočty!$W$6</f>
        <v>Hliník plast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Vertikální (ze shora dolů)</v>
      </c>
      <c r="B102" s="256" t="str">
        <f>výpočty!$R$10</f>
        <v>Do šneku</v>
      </c>
      <c r="C102" t="str">
        <f>výpočty!$R$4</f>
        <v>Classic - vložený na zafrézování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Vertikální (ze shora dolů)</v>
      </c>
      <c r="B103" s="256" t="str">
        <f>výpočty!$R$10</f>
        <v>Do šneku</v>
      </c>
      <c r="C103" t="str">
        <f>výpočty!$R$4</f>
        <v>Classic - vložený na zafrézování</v>
      </c>
      <c r="D103" s="36" t="str">
        <f>výpočty!$W$8</f>
        <v>Třešeň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Vertikální (ze shora dolů)</v>
      </c>
      <c r="B104" s="256" t="str">
        <f>výpočty!$R$10</f>
        <v>Do šneku</v>
      </c>
      <c r="C104" t="str">
        <f>výpočty!$R$4</f>
        <v>Classic - vložený na zafrézování</v>
      </c>
      <c r="D104" s="36" t="str">
        <f>výpočty!$W$9</f>
        <v>Javor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Vertikální (ze shora dolů)</v>
      </c>
      <c r="B105" s="256" t="str">
        <f>výpočty!$R$10</f>
        <v>Do šneku</v>
      </c>
      <c r="C105" t="str">
        <f>výpočty!$R$4</f>
        <v>Classic - vložený na zafrézování</v>
      </c>
      <c r="D105" s="36" t="str">
        <f>výpočty!$W$10</f>
        <v>Bříza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Vertikální (ze shora dolů)</v>
      </c>
      <c r="B106" s="256" t="str">
        <f>výpočty!$R$10</f>
        <v>Do šneku</v>
      </c>
      <c r="C106" t="str">
        <f>výpočty!$R$4</f>
        <v>Classic - vložený na zafrézování</v>
      </c>
      <c r="D106" s="36" t="str">
        <f>výpočty!$W$11</f>
        <v>Třešeň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Vertikální (ze shora dolů)</v>
      </c>
      <c r="B107" s="256" t="str">
        <f>výpočty!$R$10</f>
        <v>Do šneku</v>
      </c>
      <c r="C107" t="str">
        <f>výpočty!$R$4</f>
        <v>Classic - vložený na zafrézování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Vertikální (ze shora dolů)</v>
      </c>
      <c r="B108" s="256" t="str">
        <f>výpočty!$R$10</f>
        <v>Do šneku</v>
      </c>
      <c r="C108" t="str">
        <f>výpočty!$R$4</f>
        <v>Classic - vložený na zafrézování</v>
      </c>
      <c r="D108" s="350" t="str">
        <f>výpočty!$W$14</f>
        <v>Zářivě bílá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Vertikální (ze shora dolů)</v>
      </c>
      <c r="B109" s="256" t="str">
        <f>výpočty!$R$10</f>
        <v>Do šneku</v>
      </c>
      <c r="C109" t="str">
        <f>výpočty!$R$4</f>
        <v>Classic - vložený na zafrézování</v>
      </c>
      <c r="D109" s="36" t="str">
        <f>výpočty!$W$15</f>
        <v>Hliník plast (E4)</v>
      </c>
      <c r="E109" s="321" t="s">
        <v>2131</v>
      </c>
      <c r="F109" s="321">
        <v>1</v>
      </c>
      <c r="G109" s="321" t="str">
        <f>Překlady!$A$143</f>
        <v>Barevné provedení Hliník plast v profilu E4 je vhodné na Horizontální vedení v kombinaci s vedením Classic s navíjením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Barevné provedení Hliník plast v profilu E4 je vhodné na Horizontální vedení v kombinaci s vedením Classic s navíjením dozadu.</v>
      </c>
      <c r="N109">
        <f t="shared" si="5"/>
        <v>1</v>
      </c>
    </row>
    <row r="110" spans="1:14" x14ac:dyDescent="0.2">
      <c r="A110" s="255" t="str">
        <f>výpočty!$R$14</f>
        <v>Vertikální (ze shora dolů)</v>
      </c>
      <c r="B110" s="256" t="str">
        <f>výpočty!$R$10</f>
        <v>Do šneku</v>
      </c>
      <c r="C110" t="str">
        <f>výpočty!$R$4</f>
        <v>Classic - vložený na zafrézování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Vertikální (ze shora dolů)</v>
      </c>
      <c r="B111" s="256" t="str">
        <f>výpočty!$R$10</f>
        <v>Do šneku</v>
      </c>
      <c r="C111" t="str">
        <f>výpočty!$R$4</f>
        <v>Classic - vložený na zafrézování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Vertikální (ze shora dolů)</v>
      </c>
      <c r="B112" s="256" t="str">
        <f>výpočty!$R$10</f>
        <v>Do šneku</v>
      </c>
      <c r="C112" t="str">
        <f>výpočty!$R$4</f>
        <v>Classic - vložený na zafrézování</v>
      </c>
      <c r="D112" s="36" t="str">
        <f>výpočty!$W$19</f>
        <v>Hliník šířka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Vertikální (ze shora dolů)</v>
      </c>
      <c r="B113" s="256" t="str">
        <f>výpočty!$R$10</f>
        <v>Do šneku</v>
      </c>
      <c r="C113" t="str">
        <f>výpočty!$R$4</f>
        <v>Classic - vložený na zafrézování</v>
      </c>
      <c r="D113" s="27" t="str">
        <f>výpočty!$W$20</f>
        <v>Nerez šířka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Vertikální (ze shora dolů)</v>
      </c>
      <c r="B114" s="256" t="str">
        <f>výpočty!$R$10</f>
        <v>Do šneku</v>
      </c>
      <c r="C114" t="str">
        <f>výpočty!$R$5</f>
        <v xml:space="preserve">Frame - naložený s krycí lištou </v>
      </c>
      <c r="D114" s="26" t="str">
        <f>výpočty!$W$3</f>
        <v>Černá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Vertikální (ze shora dolů)</v>
      </c>
      <c r="B115" s="256" t="str">
        <f>výpočty!$R$10</f>
        <v>Do šneku</v>
      </c>
      <c r="C115" t="str">
        <f>výpočty!$R$5</f>
        <v xml:space="preserve">Frame - naložený s krycí lištou </v>
      </c>
      <c r="D115" s="36" t="str">
        <f>výpočty!$W$4</f>
        <v>Bílá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Vertikální (ze shora dolů)</v>
      </c>
      <c r="B116" s="256" t="str">
        <f>výpočty!$R$10</f>
        <v>Do šneku</v>
      </c>
      <c r="C116" t="str">
        <f>výpočty!$R$5</f>
        <v xml:space="preserve">Frame - naložený s krycí lištou </v>
      </c>
      <c r="D116" s="36" t="str">
        <f>výpočty!$W$5</f>
        <v>Šedá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Vertikální (ze shora dolů)</v>
      </c>
      <c r="B117" s="256" t="str">
        <f>výpočty!$R$10</f>
        <v>Do šneku</v>
      </c>
      <c r="C117" t="str">
        <f>výpočty!$R$5</f>
        <v xml:space="preserve">Frame - naložený s krycí lištou </v>
      </c>
      <c r="D117" s="36" t="str">
        <f>výpočty!$W$6</f>
        <v>Hliník plast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Vertikální (ze shora dolů)</v>
      </c>
      <c r="B118" s="256" t="str">
        <f>výpočty!$R$10</f>
        <v>Do šneku</v>
      </c>
      <c r="C118" t="str">
        <f>výpočty!$R$5</f>
        <v xml:space="preserve">Frame - naložený s krycí lištou 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Barevné provedení BUK v profilu E23 již nelze kombinovat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Barevné provedení BUK v profilu E23 již nelze kombinovat s vedením FRAME.</v>
      </c>
      <c r="N118">
        <f t="shared" si="5"/>
        <v>1</v>
      </c>
    </row>
    <row r="119" spans="1:14" x14ac:dyDescent="0.2">
      <c r="A119" s="255" t="str">
        <f>výpočty!$R$14</f>
        <v>Vertikální (ze shora dolů)</v>
      </c>
      <c r="B119" s="256" t="str">
        <f>výpočty!$R$10</f>
        <v>Do šneku</v>
      </c>
      <c r="C119" t="str">
        <f>výpočty!$R$5</f>
        <v xml:space="preserve">Frame - naložený s krycí lištou </v>
      </c>
      <c r="D119" s="36" t="str">
        <f>výpočty!$W$8</f>
        <v>Třešeň (E23)</v>
      </c>
      <c r="E119" t="s">
        <v>2130</v>
      </c>
      <c r="F119">
        <v>1</v>
      </c>
      <c r="G119" t="str">
        <f>Překlady!$A$176</f>
        <v>Barevné provedení Třešeň v profilu E23 již nelze kombinovat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Barevné provedení Třešeň v profilu E23 již nelze kombinovat s vedením FRAME.</v>
      </c>
      <c r="N119">
        <f t="shared" si="5"/>
        <v>1</v>
      </c>
    </row>
    <row r="120" spans="1:14" x14ac:dyDescent="0.2">
      <c r="A120" s="255" t="str">
        <f>výpočty!$R$14</f>
        <v>Vertikální (ze shora dolů)</v>
      </c>
      <c r="B120" s="256" t="str">
        <f>výpočty!$R$10</f>
        <v>Do šneku</v>
      </c>
      <c r="C120" t="str">
        <f>výpočty!$R$5</f>
        <v xml:space="preserve">Frame - naložený s krycí lištou </v>
      </c>
      <c r="D120" s="36" t="str">
        <f>výpočty!$W$9</f>
        <v>Javor (E23)</v>
      </c>
      <c r="E120" t="s">
        <v>2130</v>
      </c>
      <c r="F120">
        <v>1</v>
      </c>
      <c r="G120" t="str">
        <f>Překlady!$A$177</f>
        <v>Barevné provedení Javor v profilu E23 již nelze kombinovat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Barevné provedení Javor v profilu E23 již nelze kombinovat s vedením FRAME.</v>
      </c>
      <c r="N120">
        <f t="shared" si="5"/>
        <v>1</v>
      </c>
    </row>
    <row r="121" spans="1:14" x14ac:dyDescent="0.2">
      <c r="A121" s="255" t="str">
        <f>výpočty!$R$14</f>
        <v>Vertikální (ze shora dolů)</v>
      </c>
      <c r="B121" s="256" t="str">
        <f>výpočty!$R$10</f>
        <v>Do šneku</v>
      </c>
      <c r="C121" t="str">
        <f>výpočty!$R$5</f>
        <v xml:space="preserve">Frame - naložený s krycí lištou </v>
      </c>
      <c r="D121" s="36" t="str">
        <f>výpočty!$W$10</f>
        <v>Bříza (E23)</v>
      </c>
      <c r="E121" t="s">
        <v>2130</v>
      </c>
      <c r="F121">
        <v>1</v>
      </c>
      <c r="G121" t="str">
        <f>Překlady!$A$175</f>
        <v>Barevné provedení Bříza v profilu E23 již nelze kombinovat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Barevné provedení Bříza v profilu E23 již nelze kombinovat s vedením FRAME.</v>
      </c>
      <c r="N121">
        <f t="shared" si="5"/>
        <v>1</v>
      </c>
    </row>
    <row r="122" spans="1:14" x14ac:dyDescent="0.2">
      <c r="A122" s="255" t="str">
        <f>výpočty!$R$14</f>
        <v>Vertikální (ze shora dolů)</v>
      </c>
      <c r="B122" s="256" t="str">
        <f>výpočty!$R$10</f>
        <v>Do šneku</v>
      </c>
      <c r="C122" t="str">
        <f>výpočty!$R$5</f>
        <v xml:space="preserve">Frame - naložený s krycí lištou </v>
      </c>
      <c r="D122" s="36" t="str">
        <f>výpočty!$W$11</f>
        <v>Třešeň havana (E23)</v>
      </c>
      <c r="E122" t="s">
        <v>2130</v>
      </c>
      <c r="F122">
        <v>1</v>
      </c>
      <c r="G122" t="str">
        <f>Překlady!$A$170</f>
        <v>Barevné provedení Třešeň havana v profilu E23 již nelze kombinovat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Barevné provedení Třešeň havana v profilu E23 již nelze kombinovat s vedením FRAME.</v>
      </c>
      <c r="N122">
        <f t="shared" si="5"/>
        <v>1</v>
      </c>
    </row>
    <row r="123" spans="1:14" x14ac:dyDescent="0.2">
      <c r="A123" s="255" t="str">
        <f>výpočty!$R$14</f>
        <v>Vertikální (ze shora dolů)</v>
      </c>
      <c r="B123" s="256" t="str">
        <f>výpočty!$R$10</f>
        <v>Do šneku</v>
      </c>
      <c r="C123" t="str">
        <f>výpočty!$R$5</f>
        <v xml:space="preserve">Frame - naložený s krycí lištou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Vertikální (ze shora dolů)</v>
      </c>
      <c r="B124" s="256" t="str">
        <f>výpočty!$R$10</f>
        <v>Do šneku</v>
      </c>
      <c r="C124" t="str">
        <f>výpočty!$R$5</f>
        <v xml:space="preserve">Frame - naložený s krycí lištou </v>
      </c>
      <c r="D124" s="36" t="str">
        <f>výpočty!$W$14</f>
        <v>Zářivě bílá mat (E9)</v>
      </c>
      <c r="E124" s="321" t="s">
        <v>2131</v>
      </c>
      <c r="F124" s="321">
        <v>1</v>
      </c>
      <c r="G124" s="321" t="str">
        <f>Překlady!$A$142</f>
        <v>Barevné provedení Zářivě bílá v profilu E9 je možné kombinovat jen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Barevné provedení Zářivě bílá v profilu E9 je možné kombinovat jen s vedením Classic a TOP.</v>
      </c>
      <c r="N124">
        <f t="shared" si="5"/>
        <v>1</v>
      </c>
    </row>
    <row r="125" spans="1:14" x14ac:dyDescent="0.2">
      <c r="A125" s="255" t="str">
        <f>výpočty!$R$14</f>
        <v>Vertikální (ze shora dolů)</v>
      </c>
      <c r="B125" s="256" t="str">
        <f>výpočty!$R$10</f>
        <v>Do šneku</v>
      </c>
      <c r="C125" t="str">
        <f>výpočty!$R$5</f>
        <v xml:space="preserve">Frame - naložený s krycí lištou </v>
      </c>
      <c r="D125" s="36" t="str">
        <f>výpočty!$W$15</f>
        <v>Hliník plast (E4)</v>
      </c>
      <c r="E125" t="s">
        <v>2131</v>
      </c>
      <c r="F125">
        <v>1</v>
      </c>
      <c r="G125" s="321" t="str">
        <f>Překlady!$A$143</f>
        <v>Barevné provedení Hliník plast v profilu E4 je vhodné na Horizontální vedení v kombinaci s vedením Classic s navíjením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Barevné provedení Hliník plast v profilu E4 je vhodné na Horizontální vedení v kombinaci s vedením Classic s navíjením dozadu.</v>
      </c>
      <c r="N125">
        <f t="shared" si="5"/>
        <v>1</v>
      </c>
    </row>
    <row r="126" spans="1:14" x14ac:dyDescent="0.2">
      <c r="A126" s="255" t="str">
        <f>výpočty!$R$14</f>
        <v>Vertikální (ze shora dolů)</v>
      </c>
      <c r="B126" s="256" t="str">
        <f>výpočty!$R$10</f>
        <v>Do šneku</v>
      </c>
      <c r="C126" t="str">
        <f>výpočty!$R$5</f>
        <v xml:space="preserve">Frame - naložený s krycí lištou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Vertikální (ze shora dolů)</v>
      </c>
      <c r="B127" s="256" t="str">
        <f>výpočty!$R$10</f>
        <v>Do šneku</v>
      </c>
      <c r="C127" t="str">
        <f>výpočty!$R$5</f>
        <v xml:space="preserve">Frame - naložený s krycí lištou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Vertikální (ze shora dolů)</v>
      </c>
      <c r="B128" s="256" t="str">
        <f>výpočty!$R$10</f>
        <v>Do šneku</v>
      </c>
      <c r="C128" t="str">
        <f>výpočty!$R$5</f>
        <v xml:space="preserve">Frame - naložený s krycí lištou </v>
      </c>
      <c r="D128" s="36" t="str">
        <f>výpočty!$W$19</f>
        <v>Hliník šířka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Vertikální (ze shora dolů)</v>
      </c>
      <c r="B129" s="256" t="str">
        <f>výpočty!$R$10</f>
        <v>Do šneku</v>
      </c>
      <c r="C129" t="str">
        <f>výpočty!$R$5</f>
        <v xml:space="preserve">Frame - naložený s krycí lištou </v>
      </c>
      <c r="D129" s="27" t="str">
        <f>výpočty!$W$20</f>
        <v>Nerez šířka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Vertikální (ze shora dolů)</v>
      </c>
      <c r="B130" s="256" t="str">
        <f>výpočty!$R$10</f>
        <v>Do šneku</v>
      </c>
      <c r="C130" t="str">
        <f>výpočty!$R$6</f>
        <v>TOP - vložený na šroubování kovový s krycí lištou</v>
      </c>
      <c r="D130" s="26" t="str">
        <f>výpočty!$W$3</f>
        <v>Černá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Vertikální (ze shora dolů)</v>
      </c>
      <c r="B131" s="256" t="str">
        <f>výpočty!$R$10</f>
        <v>Do šneku</v>
      </c>
      <c r="C131" t="str">
        <f>výpočty!$R$6</f>
        <v>TOP - vložený na šroubování kovový s krycí lištou</v>
      </c>
      <c r="D131" s="36" t="str">
        <f>výpočty!$W$4</f>
        <v>Bílá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Vertikální (ze shora dolů)</v>
      </c>
      <c r="B132" s="256" t="str">
        <f>výpočty!$R$10</f>
        <v>Do šneku</v>
      </c>
      <c r="C132" t="str">
        <f>výpočty!$R$6</f>
        <v>TOP - vložený na šroubování kovový s krycí lištou</v>
      </c>
      <c r="D132" s="36" t="str">
        <f>výpočty!$W$5</f>
        <v>Šedá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Vertikální (ze shora dolů)</v>
      </c>
      <c r="B133" s="256" t="str">
        <f>výpočty!$R$10</f>
        <v>Do šneku</v>
      </c>
      <c r="C133" t="str">
        <f>výpočty!$R$6</f>
        <v>TOP - vložený na šroubování kovový s krycí lištou</v>
      </c>
      <c r="D133" s="36" t="str">
        <f>výpočty!$W$6</f>
        <v>Hliník plast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Vertikální (ze shora dolů)</v>
      </c>
      <c r="B134" s="256" t="str">
        <f>výpočty!$R$10</f>
        <v>Do šneku</v>
      </c>
      <c r="C134" t="str">
        <f>výpočty!$R$6</f>
        <v>TOP - vložený na šroubování kovový s krycí lištou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Vertikální (ze shora dolů)</v>
      </c>
      <c r="B135" s="256" t="str">
        <f>výpočty!$R$10</f>
        <v>Do šneku</v>
      </c>
      <c r="C135" t="str">
        <f>výpočty!$R$6</f>
        <v>TOP - vložený na šroubování kovový s krycí lištou</v>
      </c>
      <c r="D135" s="36" t="str">
        <f>výpočty!$W$8</f>
        <v>Třešeň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Vertikální (ze shora dolů)</v>
      </c>
      <c r="B136" s="256" t="str">
        <f>výpočty!$R$10</f>
        <v>Do šneku</v>
      </c>
      <c r="C136" t="str">
        <f>výpočty!$R$6</f>
        <v>TOP - vložený na šroubování kovový s krycí lištou</v>
      </c>
      <c r="D136" s="36" t="str">
        <f>výpočty!$W$9</f>
        <v>Javor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Vertikální (ze shora dolů)</v>
      </c>
      <c r="B137" s="256" t="str">
        <f>výpočty!$R$10</f>
        <v>Do šneku</v>
      </c>
      <c r="C137" t="str">
        <f>výpočty!$R$6</f>
        <v>TOP - vložený na šroubování kovový s krycí lištou</v>
      </c>
      <c r="D137" s="36" t="str">
        <f>výpočty!$W$10</f>
        <v>Bříza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Vertikální (ze shora dolů)</v>
      </c>
      <c r="B138" s="256" t="str">
        <f>výpočty!$R$10</f>
        <v>Do šneku</v>
      </c>
      <c r="C138" t="str">
        <f>výpočty!$R$6</f>
        <v>TOP - vložený na šroubování kovový s krycí lištou</v>
      </c>
      <c r="D138" s="36" t="str">
        <f>výpočty!$W$11</f>
        <v>Třešeň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Vertikální (ze shora dolů)</v>
      </c>
      <c r="B139" s="256" t="str">
        <f>výpočty!$R$10</f>
        <v>Do šneku</v>
      </c>
      <c r="C139" t="str">
        <f>výpočty!$R$6</f>
        <v>TOP - vložený na šroubování kovový s krycí lištou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Vertikální (ze shora dolů)</v>
      </c>
      <c r="B140" s="256" t="str">
        <f>výpočty!$R$10</f>
        <v>Do šneku</v>
      </c>
      <c r="C140" t="str">
        <f>výpočty!$R$6</f>
        <v>TOP - vložený na šroubování kovový s krycí lištou</v>
      </c>
      <c r="D140" s="36" t="str">
        <f>výpočty!$W$14</f>
        <v>Zářivě bílá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Vertikální (ze shora dolů)</v>
      </c>
      <c r="B141" s="256" t="str">
        <f>výpočty!$R$10</f>
        <v>Do šneku</v>
      </c>
      <c r="C141" t="str">
        <f>výpočty!$R$6</f>
        <v>TOP - vložený na šroubování kovový s krycí lištou</v>
      </c>
      <c r="D141" s="36" t="str">
        <f>výpočty!$W$15</f>
        <v>Hliník plast (E4)</v>
      </c>
      <c r="E141" t="s">
        <v>2131</v>
      </c>
      <c r="F141">
        <v>1</v>
      </c>
      <c r="G141" s="321" t="str">
        <f>Překlady!$A$143</f>
        <v>Barevné provedení Hliník plast v profilu E4 je vhodné na Horizontální vedení v kombinaci s vedením Classic s navíjením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Barevné provedení Hliník plast v profilu E4 je vhodné na Horizontální vedení v kombinaci s vedením Classic s navíjením dozadu.</v>
      </c>
      <c r="N141">
        <f t="shared" si="8"/>
        <v>1</v>
      </c>
    </row>
    <row r="142" spans="1:14" x14ac:dyDescent="0.2">
      <c r="A142" s="255" t="str">
        <f>výpočty!$R$14</f>
        <v>Vertikální (ze shora dolů)</v>
      </c>
      <c r="B142" s="256" t="str">
        <f>výpočty!$R$10</f>
        <v>Do šneku</v>
      </c>
      <c r="C142" t="str">
        <f>výpočty!$R$6</f>
        <v>TOP - vložený na šroubování kovový s krycí lištou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Vertikální (ze shora dolů)</v>
      </c>
      <c r="B143" s="256" t="str">
        <f>výpočty!$R$10</f>
        <v>Do šneku</v>
      </c>
      <c r="C143" t="str">
        <f>výpočty!$R$6</f>
        <v>TOP - vložený na šroubování kovový s krycí lištou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Vertikální (ze shora dolů)</v>
      </c>
      <c r="B144" s="256" t="str">
        <f>výpočty!$R$10</f>
        <v>Do šneku</v>
      </c>
      <c r="C144" t="str">
        <f>výpočty!$R$6</f>
        <v>TOP - vložený na šroubování kovový s krycí lištou</v>
      </c>
      <c r="D144" s="36" t="str">
        <f>výpočty!$W$19</f>
        <v>Hliník šířka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Vertikální (ze shora dolů)</v>
      </c>
      <c r="B145" s="256" t="str">
        <f>výpočty!$R$10</f>
        <v>Do šneku</v>
      </c>
      <c r="C145" t="str">
        <f>výpočty!$R$6</f>
        <v>TOP - vložený na šroubování kovový s krycí lištou</v>
      </c>
      <c r="D145" s="27" t="str">
        <f>výpočty!$W$20</f>
        <v>Nerez šířka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Vertikální (ze shora dolů)</v>
      </c>
      <c r="B146" s="256" t="str">
        <f>výpočty!$R$10</f>
        <v>Do šneku</v>
      </c>
      <c r="C146" t="str">
        <f>výpočty!$R$7</f>
        <v xml:space="preserve">Naložený s metallic-line vedením 29mm a mech. C3 </v>
      </c>
      <c r="D146" s="26" t="str">
        <f>výpočty!$W$3</f>
        <v>Černá (E23)</v>
      </c>
      <c r="E146" t="s">
        <v>2131</v>
      </c>
      <c r="F146">
        <v>1</v>
      </c>
      <c r="G146" s="321" t="str">
        <f>Překlady!$A$146</f>
        <v>Systém vedení Naložený s metallic-line vedením 29mm a mech. C3  je možné kombinovat jen se systémem navíjení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vedení Naložený s metallic-line vedením 29mm a mech. C3  je možné kombinovat jen se systémem navíjení na mechaniku C3.</v>
      </c>
      <c r="N146">
        <f t="shared" si="8"/>
        <v>1</v>
      </c>
    </row>
    <row r="147" spans="1:14" x14ac:dyDescent="0.2">
      <c r="A147" s="255" t="str">
        <f>výpočty!$R$14</f>
        <v>Vertikální (ze shora dolů)</v>
      </c>
      <c r="B147" s="256" t="str">
        <f>výpočty!$R$10</f>
        <v>Do šneku</v>
      </c>
      <c r="C147" t="str">
        <f>výpočty!$R$7</f>
        <v xml:space="preserve">Naložený s metallic-line vedením 29mm a mech. C3 </v>
      </c>
      <c r="D147" s="36" t="str">
        <f>výpočty!$W$4</f>
        <v>Bílá (E23)</v>
      </c>
      <c r="E147" t="s">
        <v>2131</v>
      </c>
      <c r="F147">
        <v>1</v>
      </c>
      <c r="G147" s="321" t="str">
        <f>Překlady!$A$146</f>
        <v>Systém vedení Naložený s metallic-line vedením 29mm a mech. C3  je možné kombinovat jen se systémem navíjení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vedení Naložený s metallic-line vedením 29mm a mech. C3  je možné kombinovat jen se systémem navíjení na mechaniku C3.</v>
      </c>
      <c r="N147">
        <f t="shared" si="8"/>
        <v>1</v>
      </c>
    </row>
    <row r="148" spans="1:14" x14ac:dyDescent="0.2">
      <c r="A148" s="255" t="str">
        <f>výpočty!$R$14</f>
        <v>Vertikální (ze shora dolů)</v>
      </c>
      <c r="B148" s="256" t="str">
        <f>výpočty!$R$10</f>
        <v>Do šneku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2131</v>
      </c>
      <c r="F148">
        <v>1</v>
      </c>
      <c r="G148" s="321" t="str">
        <f>Překlady!$A$146</f>
        <v>Systém vedení Naložený s metallic-line vedením 29mm a mech. C3  je možné kombinovat jen se systémem navíjení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vedení Naložený s metallic-line vedením 29mm a mech. C3  je možné kombinovat jen se systémem navíjení na mechaniku C3.</v>
      </c>
      <c r="N148">
        <f t="shared" si="8"/>
        <v>1</v>
      </c>
    </row>
    <row r="149" spans="1:14" x14ac:dyDescent="0.2">
      <c r="A149" s="255" t="str">
        <f>výpočty!$R$14</f>
        <v>Vertikální (ze shora dolů)</v>
      </c>
      <c r="B149" s="256" t="str">
        <f>výpočty!$R$10</f>
        <v>Do šneku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2131</v>
      </c>
      <c r="F149">
        <v>1</v>
      </c>
      <c r="G149" s="321" t="str">
        <f>Překlady!$A$146</f>
        <v>Systém vedení Naložený s metallic-line vedením 29mm a mech. C3  je možné kombinovat jen se systémem navíjení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vedení Naložený s metallic-line vedením 29mm a mech. C3  je možné kombinovat jen se systémem navíjení na mechaniku C3.</v>
      </c>
      <c r="N149">
        <f t="shared" si="8"/>
        <v>1</v>
      </c>
    </row>
    <row r="150" spans="1:14" x14ac:dyDescent="0.2">
      <c r="A150" s="255" t="str">
        <f>výpočty!$R$14</f>
        <v>Vertikální (ze shora dolů)</v>
      </c>
      <c r="B150" s="256" t="str">
        <f>výpočty!$R$10</f>
        <v>Do šneku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Systém vedení Naložený s metallic-line vedením 29mm a mech. C3  je možné kombinovat jen se systémem navíjení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vedení Naložený s metallic-line vedením 29mm a mech. C3  je možné kombinovat jen se systémem navíjení na mechaniku C3.</v>
      </c>
      <c r="N150">
        <f t="shared" si="8"/>
        <v>1</v>
      </c>
    </row>
    <row r="151" spans="1:14" x14ac:dyDescent="0.2">
      <c r="A151" s="255" t="str">
        <f>výpočty!$R$14</f>
        <v>Vertikální (ze shora dolů)</v>
      </c>
      <c r="B151" s="256" t="str">
        <f>výpočty!$R$10</f>
        <v>Do šneku</v>
      </c>
      <c r="C151" t="str">
        <f>výpočty!$R$7</f>
        <v xml:space="preserve">Naložený s metallic-line vedením 29mm a mech. C3 </v>
      </c>
      <c r="D151" s="36" t="str">
        <f>výpočty!$W$8</f>
        <v>Třešeň (E23)</v>
      </c>
      <c r="E151" t="s">
        <v>2131</v>
      </c>
      <c r="F151">
        <v>1</v>
      </c>
      <c r="G151" s="321" t="str">
        <f>Překlady!$A$146</f>
        <v>Systém vedení Naložený s metallic-line vedením 29mm a mech. C3  je možné kombinovat jen se systémem navíjení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vedení Naložený s metallic-line vedením 29mm a mech. C3  je možné kombinovat jen se systémem navíjení na mechaniku C3.</v>
      </c>
      <c r="N151">
        <f t="shared" si="8"/>
        <v>1</v>
      </c>
    </row>
    <row r="152" spans="1:14" x14ac:dyDescent="0.2">
      <c r="A152" s="255" t="str">
        <f>výpočty!$R$14</f>
        <v>Vertikální (ze shora dolů)</v>
      </c>
      <c r="B152" s="256" t="str">
        <f>výpočty!$R$10</f>
        <v>Do šneku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2131</v>
      </c>
      <c r="F152">
        <v>1</v>
      </c>
      <c r="G152" s="321" t="str">
        <f>Překlady!$A$146</f>
        <v>Systém vedení Naložený s metallic-line vedením 29mm a mech. C3  je možné kombinovat jen se systémem navíjení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vedení Naložený s metallic-line vedením 29mm a mech. C3  je možné kombinovat jen se systémem navíjení na mechaniku C3.</v>
      </c>
      <c r="N152">
        <f t="shared" si="8"/>
        <v>1</v>
      </c>
    </row>
    <row r="153" spans="1:14" x14ac:dyDescent="0.2">
      <c r="A153" s="255" t="str">
        <f>výpočty!$R$14</f>
        <v>Vertikální (ze shora dolů)</v>
      </c>
      <c r="B153" s="256" t="str">
        <f>výpočty!$R$10</f>
        <v>Do šneku</v>
      </c>
      <c r="C153" t="str">
        <f>výpočty!$R$7</f>
        <v xml:space="preserve">Naložený s metallic-line vedením 29mm a mech. C3 </v>
      </c>
      <c r="D153" s="36" t="str">
        <f>výpočty!$W$10</f>
        <v>Bříza (E23)</v>
      </c>
      <c r="E153" t="s">
        <v>2131</v>
      </c>
      <c r="F153">
        <v>1</v>
      </c>
      <c r="G153" s="321" t="str">
        <f>Překlady!$A$146</f>
        <v>Systém vedení Naložený s metallic-line vedením 29mm a mech. C3  je možné kombinovat jen se systémem navíjení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vedení Naložený s metallic-line vedením 29mm a mech. C3  je možné kombinovat jen se systémem navíjení na mechaniku C3.</v>
      </c>
      <c r="N153">
        <f t="shared" si="8"/>
        <v>1</v>
      </c>
    </row>
    <row r="154" spans="1:14" x14ac:dyDescent="0.2">
      <c r="A154" s="255" t="str">
        <f>výpočty!$R$14</f>
        <v>Vertikální (ze shora dolů)</v>
      </c>
      <c r="B154" s="256" t="str">
        <f>výpočty!$R$10</f>
        <v>Do šneku</v>
      </c>
      <c r="C154" t="str">
        <f>výpočty!$R$7</f>
        <v xml:space="preserve">Naložený s metallic-line vedením 29mm a mech. C3 </v>
      </c>
      <c r="D154" s="36" t="str">
        <f>výpočty!$W$11</f>
        <v>Třešeň havana (E23)</v>
      </c>
      <c r="E154" t="s">
        <v>2131</v>
      </c>
      <c r="F154">
        <v>1</v>
      </c>
      <c r="G154" s="321" t="str">
        <f>Překlady!$A$146</f>
        <v>Systém vedení Naložený s metallic-line vedením 29mm a mech. C3  je možné kombinovat jen se systémem navíjení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vedení Naložený s metallic-line vedením 29mm a mech. C3  je možné kombinovat jen se systémem navíjení na mechaniku C3.</v>
      </c>
      <c r="N154">
        <f t="shared" si="8"/>
        <v>1</v>
      </c>
    </row>
    <row r="155" spans="1:14" x14ac:dyDescent="0.2">
      <c r="A155" s="255" t="str">
        <f>výpočty!$R$14</f>
        <v>Vertikální (ze shora dolů)</v>
      </c>
      <c r="B155" s="256" t="str">
        <f>výpočty!$R$10</f>
        <v>Do šneku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Systém vedení Naložený s metallic-line vedením 29mm a mech. C3  je možné kombinovat jen se systémem navíjení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vedení Naložený s metallic-line vedením 29mm a mech. C3  je možné kombinovat jen se systémem navíjení na mechaniku C3.</v>
      </c>
      <c r="N155">
        <f t="shared" si="8"/>
        <v>1</v>
      </c>
    </row>
    <row r="156" spans="1:14" x14ac:dyDescent="0.2">
      <c r="A156" s="255" t="str">
        <f>výpočty!$R$14</f>
        <v>Vertikální (ze shora dolů)</v>
      </c>
      <c r="B156" s="256" t="str">
        <f>výpočty!$R$10</f>
        <v>Do šneku</v>
      </c>
      <c r="C156" t="str">
        <f>výpočty!$R$7</f>
        <v xml:space="preserve">Naložený s metallic-line vedením 29mm a mech. C3 </v>
      </c>
      <c r="D156" s="36" t="str">
        <f>výpočty!$W$14</f>
        <v>Zářivě bílá mat (E9)</v>
      </c>
      <c r="E156" t="s">
        <v>2131</v>
      </c>
      <c r="F156">
        <v>1</v>
      </c>
      <c r="G156" s="321" t="str">
        <f>Překlady!$A$142</f>
        <v>Barevné provedení Zářivě bílá v profilu E9 je možné kombinovat jen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Barevné provedení Zářivě bílá v profilu E9 je možné kombinovat jen s vedením Classic a TOP.</v>
      </c>
      <c r="N156">
        <f t="shared" si="8"/>
        <v>1</v>
      </c>
    </row>
    <row r="157" spans="1:14" x14ac:dyDescent="0.2">
      <c r="A157" s="255" t="str">
        <f>výpočty!$R$14</f>
        <v>Vertikální (ze shora dolů)</v>
      </c>
      <c r="B157" s="256" t="str">
        <f>výpočty!$R$10</f>
        <v>Do šneku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2131</v>
      </c>
      <c r="F157">
        <v>1</v>
      </c>
      <c r="G157" s="321" t="str">
        <f>Překlady!$A$143</f>
        <v>Barevné provedení Hliník plast v profilu E4 je vhodné na Horizontální vedení v kombinaci s vedením Classic s navíjením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Barevné provedení Hliník plast v profilu E4 je vhodné na Horizontální vedení v kombinaci s vedením Classic s navíjením dozadu.</v>
      </c>
      <c r="N157">
        <f t="shared" si="8"/>
        <v>1</v>
      </c>
    </row>
    <row r="158" spans="1:14" x14ac:dyDescent="0.2">
      <c r="A158" s="255" t="str">
        <f>výpočty!$R$14</f>
        <v>Vertikální (ze shora dolů)</v>
      </c>
      <c r="B158" s="256" t="str">
        <f>výpočty!$R$10</f>
        <v>Do šneku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Systém vedení Naložený s metallic-line vedením 29mm a mech. C3  je možné kombinovat jen se systémem navíjení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vedení Naložený s metallic-line vedením 29mm a mech. C3  je možné kombinovat jen se systémem navíjení na mechaniku C3.</v>
      </c>
      <c r="N158">
        <f t="shared" si="8"/>
        <v>1</v>
      </c>
    </row>
    <row r="159" spans="1:14" x14ac:dyDescent="0.2">
      <c r="A159" s="255" t="str">
        <f>výpočty!$R$14</f>
        <v>Vertikální (ze shora dolů)</v>
      </c>
      <c r="B159" s="256" t="str">
        <f>výpočty!$R$10</f>
        <v>Do šneku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Systém vedení Naložený s metallic-line vedením 29mm a mech. C3  je možné kombinovat jen se systémem navíjení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vedení Naložený s metallic-line vedením 29mm a mech. C3  je možné kombinovat jen se systémem navíjení na mechaniku C3.</v>
      </c>
      <c r="N159">
        <f t="shared" si="8"/>
        <v>1</v>
      </c>
    </row>
    <row r="160" spans="1:14" x14ac:dyDescent="0.2">
      <c r="A160" s="255" t="str">
        <f>výpočty!$R$14</f>
        <v>Vertikální (ze shora dolů)</v>
      </c>
      <c r="B160" s="256" t="str">
        <f>výpočty!$R$10</f>
        <v>Do šneku</v>
      </c>
      <c r="C160" t="str">
        <f>výpočty!$R$7</f>
        <v xml:space="preserve">Naložený s metallic-line vedením 29mm a mech. C3 </v>
      </c>
      <c r="D160" s="36" t="str">
        <f>výpočty!$W$19</f>
        <v>Hliník šířka 25 mm (metallic-line)</v>
      </c>
      <c r="E160" t="s">
        <v>2131</v>
      </c>
      <c r="F160">
        <v>1</v>
      </c>
      <c r="G160" s="321" t="str">
        <f>Překlady!$A$146</f>
        <v>Systém vedení Naložený s metallic-line vedením 29mm a mech. C3  je možné kombinovat jen se systémem navíjení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vedení Naložený s metallic-line vedením 29mm a mech. C3  je možné kombinovat jen se systémem navíjení na mechaniku C3.</v>
      </c>
      <c r="N160">
        <f t="shared" si="8"/>
        <v>1</v>
      </c>
    </row>
    <row r="161" spans="1:14" ht="13.5" thickBot="1" x14ac:dyDescent="0.25">
      <c r="A161" s="255" t="str">
        <f>výpočty!$R$14</f>
        <v>Vertikální (ze shora dolů)</v>
      </c>
      <c r="B161" s="256" t="str">
        <f>výpočty!$R$10</f>
        <v>Do šneku</v>
      </c>
      <c r="C161" t="str">
        <f>výpočty!$R$7</f>
        <v xml:space="preserve">Naložený s metallic-line vedením 29mm a mech. C3 </v>
      </c>
      <c r="D161" s="27" t="str">
        <f>výpočty!$W$20</f>
        <v>Nerez šířka 25 mm (metallic-line)</v>
      </c>
      <c r="E161" t="s">
        <v>2131</v>
      </c>
      <c r="F161">
        <v>1</v>
      </c>
      <c r="G161" s="321" t="str">
        <f>Překlady!$A$146</f>
        <v>Systém vedení Naložený s metallic-line vedením 29mm a mech. C3  je možné kombinovat jen se systémem navíjení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vedení Naložený s metallic-line vedením 29mm a mech. C3  je možné kombinovat jen se systémem navíjení na mechaniku C3.</v>
      </c>
      <c r="N161">
        <f t="shared" si="8"/>
        <v>1</v>
      </c>
    </row>
    <row r="162" spans="1:14" x14ac:dyDescent="0.2">
      <c r="A162" s="255" t="str">
        <f>výpočty!$R$14</f>
        <v>Vertikální (ze shora dolů)</v>
      </c>
      <c r="B162" t="str">
        <f>výpočty!$R$11</f>
        <v>S mechanikou C3</v>
      </c>
      <c r="C162" t="str">
        <f>výpočty!$R$3</f>
        <v>TOP Basic - vložený na šroubování plastový</v>
      </c>
      <c r="D162" s="26" t="str">
        <f>výpočty!$W$3</f>
        <v>Černá (E23)</v>
      </c>
      <c r="E162" s="321" t="s">
        <v>2130</v>
      </c>
      <c r="F162">
        <v>2</v>
      </c>
      <c r="G162" s="321" t="str">
        <f>Překlady!$A$149</f>
        <v>Systém navíjení na mechaniku C3 není možné kombinovat s vedením TOP BASIC bez vlastní úpravy vodícího profilu (viz list Návod). Další variantou je volba vedení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navíjení na mechaniku C3 není možné kombinovat s vedením TOP BASIC bez vlastní úpravy vodícího profilu (viz list Návod). Další variantou je volba vedení TOP.</v>
      </c>
      <c r="N162">
        <f t="shared" si="8"/>
        <v>2</v>
      </c>
    </row>
    <row r="163" spans="1:14" x14ac:dyDescent="0.2">
      <c r="A163" s="255" t="str">
        <f>výpočty!$R$14</f>
        <v>Vertikální (ze shora dolů)</v>
      </c>
      <c r="B163" t="str">
        <f>výpočty!$R$11</f>
        <v>S mechanikou C3</v>
      </c>
      <c r="C163" t="str">
        <f>výpočty!$R$3</f>
        <v>TOP Basic - vložený na šroubování plastový</v>
      </c>
      <c r="D163" s="36" t="str">
        <f>výpočty!$W$4</f>
        <v>Bílá (E23)</v>
      </c>
      <c r="E163" s="321" t="s">
        <v>2130</v>
      </c>
      <c r="F163">
        <v>2</v>
      </c>
      <c r="G163" s="321" t="str">
        <f>Překlady!$A$149</f>
        <v>Systém navíjení na mechaniku C3 není možné kombinovat s vedením TOP BASIC bez vlastní úpravy vodícího profilu (viz list Návod). Další variantou je volba vedení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navíjení na mechaniku C3 není možné kombinovat s vedením TOP BASIC bez vlastní úpravy vodícího profilu (viz list Návod). Další variantou je volba vedení TOP.</v>
      </c>
      <c r="N163">
        <f t="shared" si="8"/>
        <v>2</v>
      </c>
    </row>
    <row r="164" spans="1:14" x14ac:dyDescent="0.2">
      <c r="A164" s="255" t="str">
        <f>výpočty!$R$14</f>
        <v>Vertikální (ze shora dolů)</v>
      </c>
      <c r="B164" t="str">
        <f>výpočty!$R$11</f>
        <v>S mechanikou C3</v>
      </c>
      <c r="C164" t="str">
        <f>výpočty!$R$3</f>
        <v>TOP Basic - vložený na šroubování plastový</v>
      </c>
      <c r="D164" s="36" t="str">
        <f>výpočty!$W$5</f>
        <v>Šedá (E23)</v>
      </c>
      <c r="E164" s="321" t="s">
        <v>2130</v>
      </c>
      <c r="F164">
        <v>2</v>
      </c>
      <c r="G164" s="321" t="str">
        <f>Překlady!$A$149</f>
        <v>Systém navíjení na mechaniku C3 není možné kombinovat s vedením TOP BASIC bez vlastní úpravy vodícího profilu (viz list Návod). Další variantou je volba vedení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navíjení na mechaniku C3 není možné kombinovat s vedením TOP BASIC bez vlastní úpravy vodícího profilu (viz list Návod). Další variantou je volba vedení TOP.</v>
      </c>
      <c r="N164">
        <f t="shared" si="8"/>
        <v>2</v>
      </c>
    </row>
    <row r="165" spans="1:14" x14ac:dyDescent="0.2">
      <c r="A165" s="255" t="str">
        <f>výpočty!$R$14</f>
        <v>Vertikální (ze shora dolů)</v>
      </c>
      <c r="B165" t="str">
        <f>výpočty!$R$11</f>
        <v>S mechanikou C3</v>
      </c>
      <c r="C165" t="str">
        <f>výpočty!$R$3</f>
        <v>TOP Basic - vložený na šroubování plastový</v>
      </c>
      <c r="D165" s="36" t="str">
        <f>výpočty!$W$6</f>
        <v>Hliník plast (E23)</v>
      </c>
      <c r="E165" s="321" t="s">
        <v>2130</v>
      </c>
      <c r="F165">
        <v>2</v>
      </c>
      <c r="G165" s="321" t="str">
        <f>Překlady!$A$149</f>
        <v>Systém navíjení na mechaniku C3 není možné kombinovat s vedením TOP BASIC bez vlastní úpravy vodícího profilu (viz list Návod). Další variantou je volba vedení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navíjení na mechaniku C3 není možné kombinovat s vedením TOP BASIC bez vlastní úpravy vodícího profilu (viz list Návod). Další variantou je volba vedení TOP.</v>
      </c>
      <c r="N165">
        <f t="shared" si="8"/>
        <v>2</v>
      </c>
    </row>
    <row r="166" spans="1:14" x14ac:dyDescent="0.2">
      <c r="A166" s="255" t="str">
        <f>výpočty!$R$14</f>
        <v>Vertikální (ze shora dolů)</v>
      </c>
      <c r="B166" t="str">
        <f>výpočty!$R$11</f>
        <v>S mechanikou C3</v>
      </c>
      <c r="C166" t="str">
        <f>výpočty!$R$3</f>
        <v>TOP Basic - vložený na šroubování plastový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Systém navíjení na mechaniku C3 není možné kombinovat s vedením TOP BASIC bez vlastní úpravy vodícího profilu (viz list Návod). Další variantou je volba vedení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navíjení na mechaniku C3 není možné kombinovat s vedením TOP BASIC bez vlastní úpravy vodícího profilu (viz list Návod). Další variantou je volba vedení TOP.</v>
      </c>
      <c r="N166">
        <f t="shared" si="8"/>
        <v>2</v>
      </c>
    </row>
    <row r="167" spans="1:14" x14ac:dyDescent="0.2">
      <c r="A167" s="255" t="str">
        <f>výpočty!$R$14</f>
        <v>Vertikální (ze shora dolů)</v>
      </c>
      <c r="B167" t="str">
        <f>výpočty!$R$11</f>
        <v>S mechanikou C3</v>
      </c>
      <c r="C167" t="str">
        <f>výpočty!$R$3</f>
        <v>TOP Basic - vložený na šroubování plastový</v>
      </c>
      <c r="D167" s="36" t="str">
        <f>výpočty!$W$8</f>
        <v>Třešeň (E23)</v>
      </c>
      <c r="E167" s="321" t="s">
        <v>2130</v>
      </c>
      <c r="F167">
        <v>2</v>
      </c>
      <c r="G167" s="321" t="str">
        <f>Překlady!$A$149</f>
        <v>Systém navíjení na mechaniku C3 není možné kombinovat s vedením TOP BASIC bez vlastní úpravy vodícího profilu (viz list Návod). Další variantou je volba vedení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navíjení na mechaniku C3 není možné kombinovat s vedením TOP BASIC bez vlastní úpravy vodícího profilu (viz list Návod). Další variantou je volba vedení TOP.</v>
      </c>
      <c r="N167">
        <f t="shared" si="8"/>
        <v>2</v>
      </c>
    </row>
    <row r="168" spans="1:14" x14ac:dyDescent="0.2">
      <c r="A168" s="255" t="str">
        <f>výpočty!$R$14</f>
        <v>Vertikální (ze shora dolů)</v>
      </c>
      <c r="B168" t="str">
        <f>výpočty!$R$11</f>
        <v>S mechanikou C3</v>
      </c>
      <c r="C168" t="str">
        <f>výpočty!$R$3</f>
        <v>TOP Basic - vložený na šroubování plastový</v>
      </c>
      <c r="D168" s="36" t="str">
        <f>výpočty!$W$9</f>
        <v>Javor (E23)</v>
      </c>
      <c r="E168" s="321" t="s">
        <v>2130</v>
      </c>
      <c r="F168">
        <v>2</v>
      </c>
      <c r="G168" s="321" t="str">
        <f>Překlady!$A$149</f>
        <v>Systém navíjení na mechaniku C3 není možné kombinovat s vedením TOP BASIC bez vlastní úpravy vodícího profilu (viz list Návod). Další variantou je volba vedení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navíjení na mechaniku C3 není možné kombinovat s vedením TOP BASIC bez vlastní úpravy vodícího profilu (viz list Návod). Další variantou je volba vedení TOP.</v>
      </c>
      <c r="N168">
        <f t="shared" si="8"/>
        <v>2</v>
      </c>
    </row>
    <row r="169" spans="1:14" x14ac:dyDescent="0.2">
      <c r="A169" s="255" t="str">
        <f>výpočty!$R$14</f>
        <v>Vertikální (ze shora dolů)</v>
      </c>
      <c r="B169" t="str">
        <f>výpočty!$R$11</f>
        <v>S mechanikou C3</v>
      </c>
      <c r="C169" t="str">
        <f>výpočty!$R$3</f>
        <v>TOP Basic - vložený na šroubování plastový</v>
      </c>
      <c r="D169" s="36" t="str">
        <f>výpočty!$W$10</f>
        <v>Bříza (E23)</v>
      </c>
      <c r="E169" s="321" t="s">
        <v>2130</v>
      </c>
      <c r="F169">
        <v>2</v>
      </c>
      <c r="G169" s="321" t="str">
        <f>Překlady!$A$149</f>
        <v>Systém navíjení na mechaniku C3 není možné kombinovat s vedením TOP BASIC bez vlastní úpravy vodícího profilu (viz list Návod). Další variantou je volba vedení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navíjení na mechaniku C3 není možné kombinovat s vedením TOP BASIC bez vlastní úpravy vodícího profilu (viz list Návod). Další variantou je volba vedení TOP.</v>
      </c>
      <c r="N169">
        <f t="shared" si="8"/>
        <v>2</v>
      </c>
    </row>
    <row r="170" spans="1:14" x14ac:dyDescent="0.2">
      <c r="A170" s="255" t="str">
        <f>výpočty!$R$14</f>
        <v>Vertikální (ze shora dolů)</v>
      </c>
      <c r="B170" t="str">
        <f>výpočty!$R$11</f>
        <v>S mechanikou C3</v>
      </c>
      <c r="C170" t="str">
        <f>výpočty!$R$3</f>
        <v>TOP Basic - vložený na šroubování plastový</v>
      </c>
      <c r="D170" s="36" t="str">
        <f>výpočty!$W$11</f>
        <v>Třešeň havana (E23)</v>
      </c>
      <c r="E170" s="321" t="s">
        <v>2130</v>
      </c>
      <c r="F170">
        <v>2</v>
      </c>
      <c r="G170" s="321" t="str">
        <f>Překlady!$A$149</f>
        <v>Systém navíjení na mechaniku C3 není možné kombinovat s vedením TOP BASIC bez vlastní úpravy vodícího profilu (viz list Návod). Další variantou je volba vedení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navíjení na mechaniku C3 není možné kombinovat s vedením TOP BASIC bez vlastní úpravy vodícího profilu (viz list Návod). Další variantou je volba vedení TOP.</v>
      </c>
      <c r="N170">
        <f t="shared" si="8"/>
        <v>2</v>
      </c>
    </row>
    <row r="171" spans="1:14" x14ac:dyDescent="0.2">
      <c r="A171" s="255" t="str">
        <f>výpočty!$R$14</f>
        <v>Vertikální (ze shora dolů)</v>
      </c>
      <c r="B171" t="str">
        <f>výpočty!$R$11</f>
        <v>S mechanikou C3</v>
      </c>
      <c r="C171" t="str">
        <f>výpočty!$R$3</f>
        <v>TOP Basic - vložený na šroubování plastový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Systém navíjení na mechaniku C3 není možné kombinovat s vedením TOP BASIC bez vlastní úpravy vodícího profilu (viz list Návod). Další variantou je volba vedení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navíjení na mechaniku C3 není možné kombinovat s vedením TOP BASIC bez vlastní úpravy vodícího profilu (viz list Návod). Další variantou je volba vedení TOP.</v>
      </c>
      <c r="N171">
        <f t="shared" si="8"/>
        <v>2</v>
      </c>
    </row>
    <row r="172" spans="1:14" x14ac:dyDescent="0.2">
      <c r="A172" s="255" t="str">
        <f>výpočty!$R$14</f>
        <v>Vertikální (ze shora dolů)</v>
      </c>
      <c r="B172" t="str">
        <f>výpočty!$R$11</f>
        <v>S mechanikou C3</v>
      </c>
      <c r="C172" t="str">
        <f>výpočty!$R$3</f>
        <v>TOP Basic - vložený na šroubování plastový</v>
      </c>
      <c r="D172" s="36" t="str">
        <f>výpočty!$W$14</f>
        <v>Zářivě bílá mat (E9)</v>
      </c>
      <c r="E172" t="s">
        <v>2131</v>
      </c>
      <c r="F172">
        <v>1</v>
      </c>
      <c r="G172" s="321" t="str">
        <f>Překlady!$A$142</f>
        <v>Barevné provedení Zářivě bílá v profilu E9 je možné kombinovat jen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Barevné provedení Zářivě bílá v profilu E9 je možné kombinovat jen s vedením Classic a TOP.</v>
      </c>
      <c r="N172">
        <f t="shared" si="8"/>
        <v>1</v>
      </c>
    </row>
    <row r="173" spans="1:14" x14ac:dyDescent="0.2">
      <c r="A173" s="255" t="str">
        <f>výpočty!$R$14</f>
        <v>Vertikální (ze shora dolů)</v>
      </c>
      <c r="B173" t="str">
        <f>výpočty!$R$11</f>
        <v>S mechanikou C3</v>
      </c>
      <c r="C173" t="str">
        <f>výpočty!$R$3</f>
        <v>TOP Basic - vložený na šroubování plastový</v>
      </c>
      <c r="D173" s="36" t="str">
        <f>výpočty!$W$15</f>
        <v>Hliník plast (E4)</v>
      </c>
      <c r="E173" t="s">
        <v>2131</v>
      </c>
      <c r="F173">
        <v>1</v>
      </c>
      <c r="G173" s="321" t="str">
        <f>Překlady!$A$143</f>
        <v>Barevné provedení Hliník plast v profilu E4 je vhodné na Horizontální vedení v kombinaci s vedením Classic s navíjením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Barevné provedení Hliník plast v profilu E4 je vhodné na Horizontální vedení v kombinaci s vedením Classic s navíjením dozadu.</v>
      </c>
      <c r="N173">
        <f t="shared" si="8"/>
        <v>1</v>
      </c>
    </row>
    <row r="174" spans="1:14" x14ac:dyDescent="0.2">
      <c r="A174" s="255" t="str">
        <f>výpočty!$R$14</f>
        <v>Vertikální (ze shora dolů)</v>
      </c>
      <c r="B174" t="str">
        <f>výpočty!$R$11</f>
        <v>S mechanikou C3</v>
      </c>
      <c r="C174" t="str">
        <f>výpočty!$R$3</f>
        <v>TOP Basic - vložený na šroubování plastový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Nelze kombinovat systém vedení TOP BASIC s roletovým profilem Metallic line. Nutno zvolit vedení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Nelze kombinovat systém vedení TOP BASIC s roletovým profilem Metallic line. Nutno zvolit vedení TOP.</v>
      </c>
      <c r="N174">
        <f t="shared" si="8"/>
        <v>1</v>
      </c>
    </row>
    <row r="175" spans="1:14" x14ac:dyDescent="0.2">
      <c r="A175" s="255" t="str">
        <f>výpočty!$R$14</f>
        <v>Vertikální (ze shora dolů)</v>
      </c>
      <c r="B175" t="str">
        <f>výpočty!$R$11</f>
        <v>S mechanikou C3</v>
      </c>
      <c r="C175" t="str">
        <f>výpočty!$R$3</f>
        <v>TOP Basic - vložený na šroubování plastový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Nelze kombinovat systém vedení TOP BASIC s roletovým profilem Metallic line. Nutno zvolit vedení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Nelze kombinovat systém vedení TOP BASIC s roletovým profilem Metallic line. Nutno zvolit vedení TOP.</v>
      </c>
      <c r="N175">
        <f t="shared" si="8"/>
        <v>1</v>
      </c>
    </row>
    <row r="176" spans="1:14" x14ac:dyDescent="0.2">
      <c r="A176" s="255" t="str">
        <f>výpočty!$R$14</f>
        <v>Vertikální (ze shora dolů)</v>
      </c>
      <c r="B176" t="str">
        <f>výpočty!$R$11</f>
        <v>S mechanikou C3</v>
      </c>
      <c r="C176" t="str">
        <f>výpočty!$R$3</f>
        <v>TOP Basic - vložený na šroubování plastový</v>
      </c>
      <c r="D176" s="36" t="str">
        <f>výpočty!$W$19</f>
        <v>Hliník šířka 25 mm (metallic-line)</v>
      </c>
      <c r="E176" t="s">
        <v>2131</v>
      </c>
      <c r="F176">
        <v>1</v>
      </c>
      <c r="G176" s="321" t="str">
        <f>Překlady!$A$144</f>
        <v>Nelze kombinovat systém vedení TOP BASIC s roletovým profilem Metallic line. Nutno zvolit vedení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Nelze kombinovat systém vedení TOP BASIC s roletovým profilem Metallic line. Nutno zvolit vedení TOP.</v>
      </c>
      <c r="N176">
        <f t="shared" si="8"/>
        <v>1</v>
      </c>
    </row>
    <row r="177" spans="1:14" ht="13.5" thickBot="1" x14ac:dyDescent="0.25">
      <c r="A177" s="255" t="str">
        <f>výpočty!$R$14</f>
        <v>Vertikální (ze shora dolů)</v>
      </c>
      <c r="B177" t="str">
        <f>výpočty!$R$11</f>
        <v>S mechanikou C3</v>
      </c>
      <c r="C177" t="str">
        <f>výpočty!$R$3</f>
        <v>TOP Basic - vložený na šroubování plastový</v>
      </c>
      <c r="D177" s="27" t="str">
        <f>výpočty!$W$20</f>
        <v>Nerez šířka 25 mm (metallic-line)</v>
      </c>
      <c r="E177" t="s">
        <v>2131</v>
      </c>
      <c r="F177">
        <v>1</v>
      </c>
      <c r="G177" s="321" t="str">
        <f>Překlady!$A$144</f>
        <v>Nelze kombinovat systém vedení TOP BASIC s roletovým profilem Metallic line. Nutno zvolit vedení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Nelze kombinovat systém vedení TOP BASIC s roletovým profilem Metallic line. Nutno zvolit vedení TOP.</v>
      </c>
      <c r="N177">
        <f t="shared" si="8"/>
        <v>1</v>
      </c>
    </row>
    <row r="178" spans="1:14" x14ac:dyDescent="0.2">
      <c r="A178" s="255" t="str">
        <f>výpočty!$R$14</f>
        <v>Vertikální (ze shora dolů)</v>
      </c>
      <c r="B178" t="str">
        <f>výpočty!$R$11</f>
        <v>S mechanikou C3</v>
      </c>
      <c r="C178" t="str">
        <f>výpočty!$R$4</f>
        <v>Classic - vložený na zafrézování</v>
      </c>
      <c r="D178" s="26" t="str">
        <f>výpočty!$W$3</f>
        <v>Černá (E23)</v>
      </c>
      <c r="E178" t="s">
        <v>2131</v>
      </c>
      <c r="F178">
        <v>1</v>
      </c>
      <c r="G178" t="str">
        <f>Překlady!$A$150</f>
        <v>Systém navíjení na mechaniku C3 není možné kombinovat s vedením Classic, doporučujeme zvolit jiný systém navíjení.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navíjení na mechaniku C3 není možné kombinovat s vedením Classic, doporučujeme zvolit jiný systém navíjení.</v>
      </c>
      <c r="N178">
        <f t="shared" si="8"/>
        <v>1</v>
      </c>
    </row>
    <row r="179" spans="1:14" x14ac:dyDescent="0.2">
      <c r="A179" s="255" t="str">
        <f>výpočty!$R$14</f>
        <v>Vertikální (ze shora dolů)</v>
      </c>
      <c r="B179" t="str">
        <f>výpočty!$R$11</f>
        <v>S mechanikou C3</v>
      </c>
      <c r="C179" t="str">
        <f>výpočty!$R$4</f>
        <v>Classic - vložený na zafrézování</v>
      </c>
      <c r="D179" s="36" t="str">
        <f>výpočty!$W$4</f>
        <v>Bílá (E23)</v>
      </c>
      <c r="E179" t="s">
        <v>2131</v>
      </c>
      <c r="F179">
        <v>1</v>
      </c>
      <c r="G179" t="str">
        <f>Překlady!$A$150</f>
        <v>Systém navíjení na mechaniku C3 není možné kombinovat s vedením Classic, doporučujeme zvolit jiný systém navíjení.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navíjení na mechaniku C3 není možné kombinovat s vedením Classic, doporučujeme zvolit jiný systém navíjení.</v>
      </c>
      <c r="N179">
        <f t="shared" si="8"/>
        <v>1</v>
      </c>
    </row>
    <row r="180" spans="1:14" x14ac:dyDescent="0.2">
      <c r="A180" s="255" t="str">
        <f>výpočty!$R$14</f>
        <v>Vertikální (ze shora dolů)</v>
      </c>
      <c r="B180" t="str">
        <f>výpočty!$R$11</f>
        <v>S mechanikou C3</v>
      </c>
      <c r="C180" t="str">
        <f>výpočty!$R$4</f>
        <v>Classic - vložený na zafrézování</v>
      </c>
      <c r="D180" s="36" t="str">
        <f>výpočty!$W$5</f>
        <v>Šedá (E23)</v>
      </c>
      <c r="E180" t="s">
        <v>2131</v>
      </c>
      <c r="F180">
        <v>1</v>
      </c>
      <c r="G180" t="str">
        <f>Překlady!$A$150</f>
        <v>Systém navíjení na mechaniku C3 není možné kombinovat s vedením Classic, doporučujeme zvolit jiný systém navíjení.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navíjení na mechaniku C3 není možné kombinovat s vedením Classic, doporučujeme zvolit jiný systém navíjení.</v>
      </c>
      <c r="N180">
        <f t="shared" si="8"/>
        <v>1</v>
      </c>
    </row>
    <row r="181" spans="1:14" x14ac:dyDescent="0.2">
      <c r="A181" s="255" t="str">
        <f>výpočty!$R$14</f>
        <v>Vertikální (ze shora dolů)</v>
      </c>
      <c r="B181" t="str">
        <f>výpočty!$R$11</f>
        <v>S mechanikou C3</v>
      </c>
      <c r="C181" t="str">
        <f>výpočty!$R$4</f>
        <v>Classic - vložený na zafrézování</v>
      </c>
      <c r="D181" s="36" t="str">
        <f>výpočty!$W$6</f>
        <v>Hliník plast (E23)</v>
      </c>
      <c r="E181" t="s">
        <v>2131</v>
      </c>
      <c r="F181">
        <v>1</v>
      </c>
      <c r="G181" t="str">
        <f>Překlady!$A$150</f>
        <v>Systém navíjení na mechaniku C3 není možné kombinovat s vedením Classic, doporučujeme zvolit jiný systém navíjení.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navíjení na mechaniku C3 není možné kombinovat s vedením Classic, doporučujeme zvolit jiný systém navíjení.</v>
      </c>
      <c r="N181">
        <f t="shared" si="8"/>
        <v>1</v>
      </c>
    </row>
    <row r="182" spans="1:14" x14ac:dyDescent="0.2">
      <c r="A182" s="255" t="str">
        <f>výpočty!$R$14</f>
        <v>Vertikální (ze shora dolů)</v>
      </c>
      <c r="B182" t="str">
        <f>výpočty!$R$11</f>
        <v>S mechanikou C3</v>
      </c>
      <c r="C182" t="str">
        <f>výpočty!$R$4</f>
        <v>Classic - vložený na zafrézování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Systém navíjení na mechaniku C3 není možné kombinovat s vedením Classic, doporučujeme zvolit jiný systém navíjení.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navíjení na mechaniku C3 není možné kombinovat s vedením Classic, doporučujeme zvolit jiný systém navíjení.</v>
      </c>
      <c r="N182">
        <f t="shared" si="8"/>
        <v>1</v>
      </c>
    </row>
    <row r="183" spans="1:14" x14ac:dyDescent="0.2">
      <c r="A183" s="255" t="str">
        <f>výpočty!$R$14</f>
        <v>Vertikální (ze shora dolů)</v>
      </c>
      <c r="B183" t="str">
        <f>výpočty!$R$11</f>
        <v>S mechanikou C3</v>
      </c>
      <c r="C183" t="str">
        <f>výpočty!$R$4</f>
        <v>Classic - vložený na zafrézování</v>
      </c>
      <c r="D183" s="36" t="str">
        <f>výpočty!$W$8</f>
        <v>Třešeň (E23)</v>
      </c>
      <c r="E183" t="s">
        <v>2131</v>
      </c>
      <c r="F183">
        <v>1</v>
      </c>
      <c r="G183" t="str">
        <f>Překlady!$A$150</f>
        <v>Systém navíjení na mechaniku C3 není možné kombinovat s vedením Classic, doporučujeme zvolit jiný systém navíjení.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navíjení na mechaniku C3 není možné kombinovat s vedením Classic, doporučujeme zvolit jiný systém navíjení.</v>
      </c>
      <c r="N183">
        <f t="shared" si="8"/>
        <v>1</v>
      </c>
    </row>
    <row r="184" spans="1:14" x14ac:dyDescent="0.2">
      <c r="A184" s="255" t="str">
        <f>výpočty!$R$14</f>
        <v>Vertikální (ze shora dolů)</v>
      </c>
      <c r="B184" t="str">
        <f>výpočty!$R$11</f>
        <v>S mechanikou C3</v>
      </c>
      <c r="C184" t="str">
        <f>výpočty!$R$4</f>
        <v>Classic - vložený na zafrézování</v>
      </c>
      <c r="D184" s="36" t="str">
        <f>výpočty!$W$9</f>
        <v>Javor (E23)</v>
      </c>
      <c r="E184" t="s">
        <v>2131</v>
      </c>
      <c r="F184">
        <v>1</v>
      </c>
      <c r="G184" t="str">
        <f>Překlady!$A$150</f>
        <v>Systém navíjení na mechaniku C3 není možné kombinovat s vedením Classic, doporučujeme zvolit jiný systém navíjení.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navíjení na mechaniku C3 není možné kombinovat s vedením Classic, doporučujeme zvolit jiný systém navíjení.</v>
      </c>
      <c r="N184">
        <f t="shared" si="8"/>
        <v>1</v>
      </c>
    </row>
    <row r="185" spans="1:14" x14ac:dyDescent="0.2">
      <c r="A185" s="255" t="str">
        <f>výpočty!$R$14</f>
        <v>Vertikální (ze shora dolů)</v>
      </c>
      <c r="B185" t="str">
        <f>výpočty!$R$11</f>
        <v>S mechanikou C3</v>
      </c>
      <c r="C185" t="str">
        <f>výpočty!$R$4</f>
        <v>Classic - vložený na zafrézování</v>
      </c>
      <c r="D185" s="36" t="str">
        <f>výpočty!$W$10</f>
        <v>Bříza (E23)</v>
      </c>
      <c r="E185" t="s">
        <v>2131</v>
      </c>
      <c r="F185">
        <v>1</v>
      </c>
      <c r="G185" t="str">
        <f>Překlady!$A$150</f>
        <v>Systém navíjení na mechaniku C3 není možné kombinovat s vedením Classic, doporučujeme zvolit jiný systém navíjení.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navíjení na mechaniku C3 není možné kombinovat s vedením Classic, doporučujeme zvolit jiný systém navíjení.</v>
      </c>
      <c r="N185">
        <f t="shared" si="8"/>
        <v>1</v>
      </c>
    </row>
    <row r="186" spans="1:14" x14ac:dyDescent="0.2">
      <c r="A186" s="255" t="str">
        <f>výpočty!$R$14</f>
        <v>Vertikální (ze shora dolů)</v>
      </c>
      <c r="B186" t="str">
        <f>výpočty!$R$11</f>
        <v>S mechanikou C3</v>
      </c>
      <c r="C186" t="str">
        <f>výpočty!$R$4</f>
        <v>Classic - vložený na zafrézování</v>
      </c>
      <c r="D186" s="36" t="str">
        <f>výpočty!$W$11</f>
        <v>Třešeň havana (E23)</v>
      </c>
      <c r="E186" t="s">
        <v>2131</v>
      </c>
      <c r="F186">
        <v>1</v>
      </c>
      <c r="G186" t="str">
        <f>Překlady!$A$150</f>
        <v>Systém navíjení na mechaniku C3 není možné kombinovat s vedením Classic, doporučujeme zvolit jiný systém navíjení.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navíjení na mechaniku C3 není možné kombinovat s vedením Classic, doporučujeme zvolit jiný systém navíjení.</v>
      </c>
      <c r="N186">
        <f t="shared" si="8"/>
        <v>1</v>
      </c>
    </row>
    <row r="187" spans="1:14" x14ac:dyDescent="0.2">
      <c r="A187" s="255" t="str">
        <f>výpočty!$R$14</f>
        <v>Vertikální (ze shora dolů)</v>
      </c>
      <c r="B187" t="str">
        <f>výpočty!$R$11</f>
        <v>S mechanikou C3</v>
      </c>
      <c r="C187" t="str">
        <f>výpočty!$R$4</f>
        <v>Classic - vložený na zafrézování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Systém navíjení na mechaniku C3 není možné kombinovat s vedením Classic, doporučujeme zvolit jiný systém navíjení.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navíjení na mechaniku C3 není možné kombinovat s vedením Classic, doporučujeme zvolit jiný systém navíjení.</v>
      </c>
      <c r="N187">
        <f t="shared" si="8"/>
        <v>1</v>
      </c>
    </row>
    <row r="188" spans="1:14" x14ac:dyDescent="0.2">
      <c r="A188" s="255" t="str">
        <f>výpočty!$R$14</f>
        <v>Vertikální (ze shora dolů)</v>
      </c>
      <c r="B188" t="str">
        <f>výpočty!$R$11</f>
        <v>S mechanikou C3</v>
      </c>
      <c r="C188" t="str">
        <f>výpočty!$R$4</f>
        <v>Classic - vložený na zafrézování</v>
      </c>
      <c r="D188" s="36" t="str">
        <f>výpočty!$W$14</f>
        <v>Zářivě bílá mat (E9)</v>
      </c>
      <c r="E188" t="s">
        <v>2131</v>
      </c>
      <c r="F188">
        <v>1</v>
      </c>
      <c r="G188" t="str">
        <f>Překlady!$A$150</f>
        <v>Systém navíjení na mechaniku C3 není možné kombinovat s vedením Classic, doporučujeme zvolit jiný systém navíjení.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navíjení na mechaniku C3 není možné kombinovat s vedením Classic, doporučujeme zvolit jiný systém navíjení.</v>
      </c>
      <c r="N188">
        <f t="shared" si="8"/>
        <v>1</v>
      </c>
    </row>
    <row r="189" spans="1:14" x14ac:dyDescent="0.2">
      <c r="A189" s="255" t="str">
        <f>výpočty!$R$14</f>
        <v>Vertikální (ze shora dolů)</v>
      </c>
      <c r="B189" t="str">
        <f>výpočty!$R$11</f>
        <v>S mechanikou C3</v>
      </c>
      <c r="C189" t="str">
        <f>výpočty!$R$4</f>
        <v>Classic - vložený na zafrézování</v>
      </c>
      <c r="D189" s="36" t="str">
        <f>výpočty!$W$15</f>
        <v>Hliník plast (E4)</v>
      </c>
      <c r="E189" t="s">
        <v>2131</v>
      </c>
      <c r="F189">
        <v>1</v>
      </c>
      <c r="G189" s="321" t="str">
        <f>Překlady!$A$143</f>
        <v>Barevné provedení Hliník plast v profilu E4 je vhodné na Horizontální vedení v kombinaci s vedením Classic s navíjením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Barevné provedení Hliník plast v profilu E4 je vhodné na Horizontální vedení v kombinaci s vedením Classic s navíjením dozadu.</v>
      </c>
      <c r="N189">
        <f t="shared" si="8"/>
        <v>1</v>
      </c>
    </row>
    <row r="190" spans="1:14" x14ac:dyDescent="0.2">
      <c r="A190" s="255" t="str">
        <f>výpočty!$R$14</f>
        <v>Vertikální (ze shora dolů)</v>
      </c>
      <c r="B190" t="str">
        <f>výpočty!$R$11</f>
        <v>S mechanikou C3</v>
      </c>
      <c r="C190" t="str">
        <f>výpočty!$R$4</f>
        <v>Classic - vložený na zafrézování</v>
      </c>
      <c r="D190" s="36">
        <f>výpočty!$W$17</f>
        <v>0</v>
      </c>
      <c r="E190" t="s">
        <v>2131</v>
      </c>
      <c r="F190">
        <v>1</v>
      </c>
      <c r="G190" t="str">
        <f>Překlady!$A$150</f>
        <v>Systém navíjení na mechaniku C3 není možné kombinovat s vedením Classic, doporučujeme zvolit jiný systém navíjení.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navíjení na mechaniku C3 není možné kombinovat s vedením Classic, doporučujeme zvolit jiný systém navíjení.</v>
      </c>
      <c r="N190">
        <f t="shared" si="8"/>
        <v>1</v>
      </c>
    </row>
    <row r="191" spans="1:14" x14ac:dyDescent="0.2">
      <c r="A191" s="255" t="str">
        <f>výpočty!$R$14</f>
        <v>Vertikální (ze shora dolů)</v>
      </c>
      <c r="B191" t="str">
        <f>výpočty!$R$11</f>
        <v>S mechanikou C3</v>
      </c>
      <c r="C191" t="str">
        <f>výpočty!$R$4</f>
        <v>Classic - vložený na zafrézování</v>
      </c>
      <c r="D191" s="36">
        <f>výpočty!$W$18</f>
        <v>0</v>
      </c>
      <c r="E191" t="s">
        <v>2131</v>
      </c>
      <c r="F191">
        <v>1</v>
      </c>
      <c r="G191" t="str">
        <f>Překlady!$A$150</f>
        <v>Systém navíjení na mechaniku C3 není možné kombinovat s vedením Classic, doporučujeme zvolit jiný systém navíjení.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navíjení na mechaniku C3 není možné kombinovat s vedením Classic, doporučujeme zvolit jiný systém navíjení.</v>
      </c>
      <c r="N191">
        <f t="shared" si="8"/>
        <v>1</v>
      </c>
    </row>
    <row r="192" spans="1:14" x14ac:dyDescent="0.2">
      <c r="A192" s="255" t="str">
        <f>výpočty!$R$14</f>
        <v>Vertikální (ze shora dolů)</v>
      </c>
      <c r="B192" t="str">
        <f>výpočty!$R$11</f>
        <v>S mechanikou C3</v>
      </c>
      <c r="C192" t="str">
        <f>výpočty!$R$4</f>
        <v>Classic - vložený na zafrézování</v>
      </c>
      <c r="D192" s="36" t="str">
        <f>výpočty!$W$19</f>
        <v>Hliník šířka 25 mm (metallic-line)</v>
      </c>
      <c r="E192" t="s">
        <v>2131</v>
      </c>
      <c r="F192">
        <v>1</v>
      </c>
      <c r="G192" t="str">
        <f>Překlady!$A$150</f>
        <v>Systém navíjení na mechaniku C3 není možné kombinovat s vedením Classic, doporučujeme zvolit jiný systém navíjení.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navíjení na mechaniku C3 není možné kombinovat s vedením Classic, doporučujeme zvolit jiný systém navíjení.</v>
      </c>
      <c r="N192">
        <f t="shared" si="8"/>
        <v>1</v>
      </c>
    </row>
    <row r="193" spans="1:14" ht="13.5" thickBot="1" x14ac:dyDescent="0.25">
      <c r="A193" s="255" t="str">
        <f>výpočty!$R$14</f>
        <v>Vertikální (ze shora dolů)</v>
      </c>
      <c r="B193" t="str">
        <f>výpočty!$R$11</f>
        <v>S mechanikou C3</v>
      </c>
      <c r="C193" t="str">
        <f>výpočty!$R$4</f>
        <v>Classic - vložený na zafrézování</v>
      </c>
      <c r="D193" s="27" t="str">
        <f>výpočty!$W$20</f>
        <v>Nerez šířka 25 mm (metallic-line)</v>
      </c>
      <c r="E193" t="s">
        <v>2131</v>
      </c>
      <c r="F193">
        <v>1</v>
      </c>
      <c r="G193" t="str">
        <f>Překlady!$A$150</f>
        <v>Systém navíjení na mechaniku C3 není možné kombinovat s vedením Classic, doporučujeme zvolit jiný systém navíjení.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navíjení na mechaniku C3 není možné kombinovat s vedením Classic, doporučujeme zvolit jiný systém navíjení.</v>
      </c>
      <c r="N193">
        <f t="shared" si="8"/>
        <v>1</v>
      </c>
    </row>
    <row r="194" spans="1:14" x14ac:dyDescent="0.2">
      <c r="A194" s="255" t="str">
        <f>výpočty!$R$14</f>
        <v>Vertikální (ze shora dolů)</v>
      </c>
      <c r="B194" t="str">
        <f>výpočty!$R$11</f>
        <v>S mechanikou C3</v>
      </c>
      <c r="C194" t="str">
        <f>výpočty!$R$5</f>
        <v xml:space="preserve">Frame - naložený s krycí lištou </v>
      </c>
      <c r="D194" s="26" t="str">
        <f>výpočty!$W$3</f>
        <v>Černá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Vertikální (ze shora dolů)</v>
      </c>
      <c r="B195" t="str">
        <f>výpočty!$R$11</f>
        <v>S mechanikou C3</v>
      </c>
      <c r="C195" t="str">
        <f>výpočty!$R$5</f>
        <v xml:space="preserve">Frame - naložený s krycí lištou </v>
      </c>
      <c r="D195" s="36" t="str">
        <f>výpočty!$W$4</f>
        <v>Bílá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Vertikální (ze shora dolů)</v>
      </c>
      <c r="B196" t="str">
        <f>výpočty!$R$11</f>
        <v>S mechanikou C3</v>
      </c>
      <c r="C196" t="str">
        <f>výpočty!$R$5</f>
        <v xml:space="preserve">Frame - naložený s krycí lištou </v>
      </c>
      <c r="D196" s="36" t="str">
        <f>výpočty!$W$5</f>
        <v>Šedá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Vertikální (ze shora dolů)</v>
      </c>
      <c r="B197" t="str">
        <f>výpočty!$R$11</f>
        <v>S mechanikou C3</v>
      </c>
      <c r="C197" t="str">
        <f>výpočty!$R$5</f>
        <v xml:space="preserve">Frame - naložený s krycí lištou </v>
      </c>
      <c r="D197" s="36" t="str">
        <f>výpočty!$W$6</f>
        <v>Hliník plast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Vertikální (ze shora dolů)</v>
      </c>
      <c r="B198" t="str">
        <f>výpočty!$R$11</f>
        <v>S mechanikou C3</v>
      </c>
      <c r="C198" t="str">
        <f>výpočty!$R$5</f>
        <v xml:space="preserve">Frame - naložený s krycí lištou 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Barevné provedení BUK v profilu E23 již nelze kombinovat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Barevné provedení BUK v profilu E23 již nelze kombinovat s vedením FRAME.</v>
      </c>
      <c r="N198">
        <f t="shared" si="11"/>
        <v>1</v>
      </c>
    </row>
    <row r="199" spans="1:14" x14ac:dyDescent="0.2">
      <c r="A199" s="255" t="str">
        <f>výpočty!$R$14</f>
        <v>Vertikální (ze shora dolů)</v>
      </c>
      <c r="B199" t="str">
        <f>výpočty!$R$11</f>
        <v>S mechanikou C3</v>
      </c>
      <c r="C199" t="str">
        <f>výpočty!$R$5</f>
        <v xml:space="preserve">Frame - naložený s krycí lištou </v>
      </c>
      <c r="D199" s="36" t="str">
        <f>výpočty!$W$8</f>
        <v>Třešeň (E23)</v>
      </c>
      <c r="E199" t="s">
        <v>2130</v>
      </c>
      <c r="F199">
        <v>1</v>
      </c>
      <c r="G199" t="str">
        <f>Překlady!$A$176</f>
        <v>Barevné provedení Třešeň v profilu E23 již nelze kombinovat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Barevné provedení Třešeň v profilu E23 již nelze kombinovat s vedením FRAME.</v>
      </c>
      <c r="N199">
        <f t="shared" si="11"/>
        <v>1</v>
      </c>
    </row>
    <row r="200" spans="1:14" x14ac:dyDescent="0.2">
      <c r="A200" s="255" t="str">
        <f>výpočty!$R$14</f>
        <v>Vertikální (ze shora dolů)</v>
      </c>
      <c r="B200" t="str">
        <f>výpočty!$R$11</f>
        <v>S mechanikou C3</v>
      </c>
      <c r="C200" t="str">
        <f>výpočty!$R$5</f>
        <v xml:space="preserve">Frame - naložený s krycí lištou </v>
      </c>
      <c r="D200" s="36" t="str">
        <f>výpočty!$W$9</f>
        <v>Javor (E23)</v>
      </c>
      <c r="E200" t="s">
        <v>2130</v>
      </c>
      <c r="F200">
        <v>1</v>
      </c>
      <c r="G200" t="str">
        <f>Překlady!$A$177</f>
        <v>Barevné provedení Javor v profilu E23 již nelze kombinovat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Barevné provedení Javor v profilu E23 již nelze kombinovat s vedením FRAME.</v>
      </c>
      <c r="N200">
        <f t="shared" si="11"/>
        <v>1</v>
      </c>
    </row>
    <row r="201" spans="1:14" x14ac:dyDescent="0.2">
      <c r="A201" s="255" t="str">
        <f>výpočty!$R$14</f>
        <v>Vertikální (ze shora dolů)</v>
      </c>
      <c r="B201" t="str">
        <f>výpočty!$R$11</f>
        <v>S mechanikou C3</v>
      </c>
      <c r="C201" t="str">
        <f>výpočty!$R$5</f>
        <v xml:space="preserve">Frame - naložený s krycí lištou </v>
      </c>
      <c r="D201" s="36" t="str">
        <f>výpočty!$W$10</f>
        <v>Bříza (E23)</v>
      </c>
      <c r="E201" t="s">
        <v>2130</v>
      </c>
      <c r="F201">
        <v>1</v>
      </c>
      <c r="G201" t="str">
        <f>Překlady!$A$175</f>
        <v>Barevné provedení Bříza v profilu E23 již nelze kombinovat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Barevné provedení Bříza v profilu E23 již nelze kombinovat s vedením FRAME.</v>
      </c>
      <c r="N201">
        <f t="shared" si="11"/>
        <v>1</v>
      </c>
    </row>
    <row r="202" spans="1:14" x14ac:dyDescent="0.2">
      <c r="A202" s="255" t="str">
        <f>výpočty!$R$14</f>
        <v>Vertikální (ze shora dolů)</v>
      </c>
      <c r="B202" t="str">
        <f>výpočty!$R$11</f>
        <v>S mechanikou C3</v>
      </c>
      <c r="C202" t="str">
        <f>výpočty!$R$5</f>
        <v xml:space="preserve">Frame - naložený s krycí lištou </v>
      </c>
      <c r="D202" s="36" t="str">
        <f>výpočty!$W$11</f>
        <v>Třešeň havana (E23)</v>
      </c>
      <c r="E202" t="s">
        <v>2131</v>
      </c>
      <c r="F202">
        <v>1</v>
      </c>
      <c r="G202" t="str">
        <f>Překlady!$A$170</f>
        <v>Barevné provedení Třešeň havana v profilu E23 již nelze kombinovat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Barevné provedení Třešeň havana v profilu E23 již nelze kombinovat s vedením FRAME.</v>
      </c>
      <c r="N202">
        <f t="shared" si="11"/>
        <v>1</v>
      </c>
    </row>
    <row r="203" spans="1:14" x14ac:dyDescent="0.2">
      <c r="A203" s="255" t="str">
        <f>výpočty!$R$14</f>
        <v>Vertikální (ze shora dolů)</v>
      </c>
      <c r="B203" t="str">
        <f>výpočty!$R$11</f>
        <v>S mechanikou C3</v>
      </c>
      <c r="C203" t="str">
        <f>výpočty!$R$5</f>
        <v xml:space="preserve">Frame - naložený s krycí lištou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Vertikální (ze shora dolů)</v>
      </c>
      <c r="B204" t="str">
        <f>výpočty!$R$11</f>
        <v>S mechanikou C3</v>
      </c>
      <c r="C204" t="str">
        <f>výpočty!$R$5</f>
        <v xml:space="preserve">Frame - naložený s krycí lištou </v>
      </c>
      <c r="D204" s="350" t="str">
        <f>výpočty!$W$14</f>
        <v>Zářivě bílá mat (E9)</v>
      </c>
      <c r="E204" s="321" t="s">
        <v>2131</v>
      </c>
      <c r="F204" s="321">
        <v>1</v>
      </c>
      <c r="G204" s="321" t="str">
        <f>Překlady!$A$142</f>
        <v>Barevné provedení Zářivě bílá v profilu E9 je možné kombinovat jen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Barevné provedení Zářivě bílá v profilu E9 je možné kombinovat jen s vedením Classic a TOP.</v>
      </c>
      <c r="N204">
        <f t="shared" si="11"/>
        <v>1</v>
      </c>
    </row>
    <row r="205" spans="1:14" x14ac:dyDescent="0.2">
      <c r="A205" s="255" t="str">
        <f>výpočty!$R$14</f>
        <v>Vertikální (ze shora dolů)</v>
      </c>
      <c r="B205" t="str">
        <f>výpočty!$R$11</f>
        <v>S mechanikou C3</v>
      </c>
      <c r="C205" t="str">
        <f>výpočty!$R$5</f>
        <v xml:space="preserve">Frame - naložený s krycí lištou </v>
      </c>
      <c r="D205" s="36" t="str">
        <f>výpočty!$W$15</f>
        <v>Hliník plast (E4)</v>
      </c>
      <c r="E205" s="321" t="s">
        <v>2131</v>
      </c>
      <c r="F205" s="321">
        <v>1</v>
      </c>
      <c r="G205" s="321" t="str">
        <f>Překlady!$A$143</f>
        <v>Barevné provedení Hliník plast v profilu E4 je vhodné na Horizontální vedení v kombinaci s vedením Classic s navíjením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Barevné provedení Hliník plast v profilu E4 je vhodné na Horizontální vedení v kombinaci s vedením Classic s navíjením dozadu.</v>
      </c>
      <c r="N205">
        <f t="shared" si="11"/>
        <v>1</v>
      </c>
    </row>
    <row r="206" spans="1:14" x14ac:dyDescent="0.2">
      <c r="A206" s="255" t="str">
        <f>výpočty!$R$14</f>
        <v>Vertikální (ze shora dolů)</v>
      </c>
      <c r="B206" t="str">
        <f>výpočty!$R$11</f>
        <v>S mechanikou C3</v>
      </c>
      <c r="C206" t="str">
        <f>výpočty!$R$5</f>
        <v xml:space="preserve">Frame - naložený s krycí lištou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Vertikální (ze shora dolů)</v>
      </c>
      <c r="B207" t="str">
        <f>výpočty!$R$11</f>
        <v>S mechanikou C3</v>
      </c>
      <c r="C207" t="str">
        <f>výpočty!$R$5</f>
        <v xml:space="preserve">Frame - naložený s krycí lištou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Vertikální (ze shora dolů)</v>
      </c>
      <c r="B208" t="str">
        <f>výpočty!$R$11</f>
        <v>S mechanikou C3</v>
      </c>
      <c r="C208" t="str">
        <f>výpočty!$R$5</f>
        <v xml:space="preserve">Frame - naložený s krycí lištou </v>
      </c>
      <c r="D208" s="36" t="str">
        <f>výpočty!$W$19</f>
        <v>Hliník šířka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Vertikální (ze shora dolů)</v>
      </c>
      <c r="B209" t="str">
        <f>výpočty!$R$11</f>
        <v>S mechanikou C3</v>
      </c>
      <c r="C209" t="str">
        <f>výpočty!$R$5</f>
        <v xml:space="preserve">Frame - naložený s krycí lištou </v>
      </c>
      <c r="D209" s="27" t="str">
        <f>výpočty!$W$20</f>
        <v>Nerez šířka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Vertikální (ze shora dolů)</v>
      </c>
      <c r="B210" t="str">
        <f>výpočty!$R$11</f>
        <v>S mechanikou C3</v>
      </c>
      <c r="C210" t="str">
        <f>výpočty!$R$6</f>
        <v>TOP - vložený na šroubování kovový s krycí lištou</v>
      </c>
      <c r="D210" s="26" t="str">
        <f>výpočty!$W$3</f>
        <v>Černá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Vertikální (ze shora dolů)</v>
      </c>
      <c r="B211" t="str">
        <f>výpočty!$R$11</f>
        <v>S mechanikou C3</v>
      </c>
      <c r="C211" t="str">
        <f>výpočty!$R$6</f>
        <v>TOP - vložený na šroubování kovový s krycí lištou</v>
      </c>
      <c r="D211" s="36" t="str">
        <f>výpočty!$W$4</f>
        <v>Bílá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Vertikální (ze shora dolů)</v>
      </c>
      <c r="B212" t="str">
        <f>výpočty!$R$11</f>
        <v>S mechanikou C3</v>
      </c>
      <c r="C212" t="str">
        <f>výpočty!$R$6</f>
        <v>TOP - vložený na šroubování kovový s krycí lištou</v>
      </c>
      <c r="D212" s="36" t="str">
        <f>výpočty!$W$5</f>
        <v>Šedá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Vertikální (ze shora dolů)</v>
      </c>
      <c r="B213" t="str">
        <f>výpočty!$R$11</f>
        <v>S mechanikou C3</v>
      </c>
      <c r="C213" t="str">
        <f>výpočty!$R$6</f>
        <v>TOP - vložený na šroubování kovový s krycí lištou</v>
      </c>
      <c r="D213" s="36" t="str">
        <f>výpočty!$W$6</f>
        <v>Hliník plast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Vertikální (ze shora dolů)</v>
      </c>
      <c r="B214" t="str">
        <f>výpočty!$R$11</f>
        <v>S mechanikou C3</v>
      </c>
      <c r="C214" t="str">
        <f>výpočty!$R$6</f>
        <v>TOP - vložený na šroubování kovový s krycí lištou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Vertikální (ze shora dolů)</v>
      </c>
      <c r="B215" t="str">
        <f>výpočty!$R$11</f>
        <v>S mechanikou C3</v>
      </c>
      <c r="C215" t="str">
        <f>výpočty!$R$6</f>
        <v>TOP - vložený na šroubování kovový s krycí lištou</v>
      </c>
      <c r="D215" s="36" t="str">
        <f>výpočty!$W$8</f>
        <v>Třešeň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Vertikální (ze shora dolů)</v>
      </c>
      <c r="B216" t="str">
        <f>výpočty!$R$11</f>
        <v>S mechanikou C3</v>
      </c>
      <c r="C216" t="str">
        <f>výpočty!$R$6</f>
        <v>TOP - vložený na šroubování kovový s krycí lištou</v>
      </c>
      <c r="D216" s="36" t="str">
        <f>výpočty!$W$9</f>
        <v>Javor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Vertikální (ze shora dolů)</v>
      </c>
      <c r="B217" t="str">
        <f>výpočty!$R$11</f>
        <v>S mechanikou C3</v>
      </c>
      <c r="C217" t="str">
        <f>výpočty!$R$6</f>
        <v>TOP - vložený na šroubování kovový s krycí lištou</v>
      </c>
      <c r="D217" s="36" t="str">
        <f>výpočty!$W$10</f>
        <v>Bříza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Vertikální (ze shora dolů)</v>
      </c>
      <c r="B218" t="str">
        <f>výpočty!$R$11</f>
        <v>S mechanikou C3</v>
      </c>
      <c r="C218" t="str">
        <f>výpočty!$R$6</f>
        <v>TOP - vložený na šroubování kovový s krycí lištou</v>
      </c>
      <c r="D218" s="36" t="str">
        <f>výpočty!$W$11</f>
        <v>Třešeň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Vertikální (ze shora dolů)</v>
      </c>
      <c r="B219" t="str">
        <f>výpočty!$R$11</f>
        <v>S mechanikou C3</v>
      </c>
      <c r="C219" t="str">
        <f>výpočty!$R$6</f>
        <v>TOP - vložený na šroubování kovový s krycí lištou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Vertikální (ze shora dolů)</v>
      </c>
      <c r="B220" t="str">
        <f>výpočty!$R$11</f>
        <v>S mechanikou C3</v>
      </c>
      <c r="C220" t="str">
        <f>výpočty!$R$6</f>
        <v>TOP - vložený na šroubování kovový s krycí lištou</v>
      </c>
      <c r="D220" s="350" t="str">
        <f>výpočty!$W$14</f>
        <v>Zářivě bílá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Vertikální (ze shora dolů)</v>
      </c>
      <c r="B221" t="str">
        <f>výpočty!$R$11</f>
        <v>S mechanikou C3</v>
      </c>
      <c r="C221" t="str">
        <f>výpočty!$R$6</f>
        <v>TOP - vložený na šroubování kovový s krycí lištou</v>
      </c>
      <c r="D221" s="36" t="str">
        <f>výpočty!$W$15</f>
        <v>Hliník plast (E4)</v>
      </c>
      <c r="E221" s="321" t="s">
        <v>2131</v>
      </c>
      <c r="F221" s="321">
        <v>1</v>
      </c>
      <c r="G221" s="321" t="str">
        <f>Překlady!$A$143</f>
        <v>Barevné provedení Hliník plast v profilu E4 je vhodné na Horizontální vedení v kombinaci s vedením Classic s navíjením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Barevné provedení Hliník plast v profilu E4 je vhodné na Horizontální vedení v kombinaci s vedením Classic s navíjením dozadu.</v>
      </c>
      <c r="N221">
        <f t="shared" si="11"/>
        <v>1</v>
      </c>
    </row>
    <row r="222" spans="1:14" x14ac:dyDescent="0.2">
      <c r="A222" s="255" t="str">
        <f>výpočty!$R$14</f>
        <v>Vertikální (ze shora dolů)</v>
      </c>
      <c r="B222" t="str">
        <f>výpočty!$R$11</f>
        <v>S mechanikou C3</v>
      </c>
      <c r="C222" t="str">
        <f>výpočty!$R$6</f>
        <v>TOP - vložený na šroubování kovový s krycí lištou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Vertikální (ze shora dolů)</v>
      </c>
      <c r="B223" t="str">
        <f>výpočty!$R$11</f>
        <v>S mechanikou C3</v>
      </c>
      <c r="C223" t="str">
        <f>výpočty!$R$6</f>
        <v>TOP - vložený na šroubování kovový s krycí lištou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Vertikální (ze shora dolů)</v>
      </c>
      <c r="B224" t="str">
        <f>výpočty!$R$11</f>
        <v>S mechanikou C3</v>
      </c>
      <c r="C224" t="str">
        <f>výpočty!$R$6</f>
        <v>TOP - vložený na šroubování kovový s krycí lištou</v>
      </c>
      <c r="D224" s="36" t="str">
        <f>výpočty!$W$19</f>
        <v>Hliník šířka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Vertikální (ze shora dolů)</v>
      </c>
      <c r="B225" t="str">
        <f>výpočty!$R$11</f>
        <v>S mechanikou C3</v>
      </c>
      <c r="C225" t="str">
        <f>výpočty!$R$6</f>
        <v>TOP - vložený na šroubování kovový s krycí lištou</v>
      </c>
      <c r="D225" s="27" t="str">
        <f>výpočty!$W$20</f>
        <v>Nerez šířka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Vertikální (ze shora dolů)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Černá (E23)</v>
      </c>
      <c r="E226" t="s">
        <v>2131</v>
      </c>
      <c r="F226">
        <v>1</v>
      </c>
      <c r="G226" s="321" t="str">
        <f>Překlady!$A$151</f>
        <v>Systém vedení Naložený s metallic-line vedením 29mm a mech. C3  doporučujeme kombinovat jen s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vedení Naložený s metallic-line vedením 29mm a mech. C3  doporučujeme kombinovat jen s profilem Metallic Line.</v>
      </c>
      <c r="N226">
        <f t="shared" si="11"/>
        <v>1</v>
      </c>
    </row>
    <row r="227" spans="1:14" x14ac:dyDescent="0.2">
      <c r="A227" s="255" t="str">
        <f>výpočty!$R$14</f>
        <v>Vertikální (ze shora dolů)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Bílá (E23)</v>
      </c>
      <c r="E227" t="s">
        <v>2131</v>
      </c>
      <c r="F227">
        <v>1</v>
      </c>
      <c r="G227" s="321" t="str">
        <f>Překlady!$A$151</f>
        <v>Systém vedení Naložený s metallic-line vedením 29mm a mech. C3  doporučujeme kombinovat jen s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vedení Naložený s metallic-line vedením 29mm a mech. C3  doporučujeme kombinovat jen s profilem Metallic Line.</v>
      </c>
      <c r="N227">
        <f t="shared" si="11"/>
        <v>1</v>
      </c>
    </row>
    <row r="228" spans="1:14" x14ac:dyDescent="0.2">
      <c r="A228" s="255" t="str">
        <f>výpočty!$R$14</f>
        <v>Vertikální (ze shora dolů)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2131</v>
      </c>
      <c r="F228">
        <v>1</v>
      </c>
      <c r="G228" s="321" t="str">
        <f>Překlady!$A$151</f>
        <v>Systém vedení Naložený s metallic-line vedením 29mm a mech. C3  doporučujeme kombinovat jen s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vedení Naložený s metallic-line vedením 29mm a mech. C3  doporučujeme kombinovat jen s profilem Metallic Line.</v>
      </c>
      <c r="N228">
        <f t="shared" si="11"/>
        <v>1</v>
      </c>
    </row>
    <row r="229" spans="1:14" x14ac:dyDescent="0.2">
      <c r="A229" s="255" t="str">
        <f>výpočty!$R$14</f>
        <v>Vertikální (ze shora dolů)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2131</v>
      </c>
      <c r="F229">
        <v>1</v>
      </c>
      <c r="G229" s="321" t="str">
        <f>Překlady!$A$151</f>
        <v>Systém vedení Naložený s metallic-line vedením 29mm a mech. C3  doporučujeme kombinovat jen s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vedení Naložený s metallic-line vedením 29mm a mech. C3  doporučujeme kombinovat jen s profilem Metallic Line.</v>
      </c>
      <c r="N229">
        <f t="shared" si="11"/>
        <v>1</v>
      </c>
    </row>
    <row r="230" spans="1:14" x14ac:dyDescent="0.2">
      <c r="A230" s="255" t="str">
        <f>výpočty!$R$14</f>
        <v>Vertikální (ze shora dolů)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Systém vedení Naložený s metallic-line vedením 29mm a mech. C3  doporučujeme kombinovat jen s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vedení Naložený s metallic-line vedením 29mm a mech. C3  doporučujeme kombinovat jen s profilem Metallic Line.</v>
      </c>
      <c r="N230">
        <f t="shared" si="11"/>
        <v>1</v>
      </c>
    </row>
    <row r="231" spans="1:14" x14ac:dyDescent="0.2">
      <c r="A231" s="255" t="str">
        <f>výpočty!$R$14</f>
        <v>Vertikální (ze shora dolů)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Třešeň (E23)</v>
      </c>
      <c r="E231" t="s">
        <v>2131</v>
      </c>
      <c r="F231">
        <v>1</v>
      </c>
      <c r="G231" s="321" t="str">
        <f>Překlady!$A$151</f>
        <v>Systém vedení Naložený s metallic-line vedením 29mm a mech. C3  doporučujeme kombinovat jen s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vedení Naložený s metallic-line vedením 29mm a mech. C3  doporučujeme kombinovat jen s profilem Metallic Line.</v>
      </c>
      <c r="N231">
        <f t="shared" si="11"/>
        <v>1</v>
      </c>
    </row>
    <row r="232" spans="1:14" x14ac:dyDescent="0.2">
      <c r="A232" s="255" t="str">
        <f>výpočty!$R$14</f>
        <v>Vertikální (ze shora dolů)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2131</v>
      </c>
      <c r="F232">
        <v>1</v>
      </c>
      <c r="G232" s="321" t="str">
        <f>Překlady!$A$151</f>
        <v>Systém vedení Naložený s metallic-line vedením 29mm a mech. C3  doporučujeme kombinovat jen s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vedení Naložený s metallic-line vedením 29mm a mech. C3  doporučujeme kombinovat jen s profilem Metallic Line.</v>
      </c>
      <c r="N232">
        <f t="shared" si="11"/>
        <v>1</v>
      </c>
    </row>
    <row r="233" spans="1:14" x14ac:dyDescent="0.2">
      <c r="A233" s="255" t="str">
        <f>výpočty!$R$14</f>
        <v>Vertikální (ze shora dolů)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Bříza (E23)</v>
      </c>
      <c r="E233" t="s">
        <v>2131</v>
      </c>
      <c r="F233">
        <v>1</v>
      </c>
      <c r="G233" s="321" t="str">
        <f>Překlady!$A$151</f>
        <v>Systém vedení Naložený s metallic-line vedením 29mm a mech. C3  doporučujeme kombinovat jen s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vedení Naložený s metallic-line vedením 29mm a mech. C3  doporučujeme kombinovat jen s profilem Metallic Line.</v>
      </c>
      <c r="N233">
        <f t="shared" si="11"/>
        <v>1</v>
      </c>
    </row>
    <row r="234" spans="1:14" x14ac:dyDescent="0.2">
      <c r="A234" s="255" t="str">
        <f>výpočty!$R$14</f>
        <v>Vertikální (ze shora dolů)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Třešeň havana (E23)</v>
      </c>
      <c r="E234" t="s">
        <v>2131</v>
      </c>
      <c r="F234">
        <v>1</v>
      </c>
      <c r="G234" s="321" t="str">
        <f>Překlady!$A$151</f>
        <v>Systém vedení Naložený s metallic-line vedením 29mm a mech. C3  doporučujeme kombinovat jen s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vedení Naložený s metallic-line vedením 29mm a mech. C3  doporučujeme kombinovat jen s profilem Metallic Line.</v>
      </c>
      <c r="N234">
        <f t="shared" si="11"/>
        <v>1</v>
      </c>
    </row>
    <row r="235" spans="1:14" x14ac:dyDescent="0.2">
      <c r="A235" s="255" t="str">
        <f>výpočty!$R$14</f>
        <v>Vertikální (ze shora dolů)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Systém vedení Naložený s metallic-line vedením 29mm a mech. C3  doporučujeme kombinovat jen s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vedení Naložený s metallic-line vedením 29mm a mech. C3  doporučujeme kombinovat jen s profilem Metallic Line.</v>
      </c>
      <c r="N235">
        <f t="shared" si="11"/>
        <v>1</v>
      </c>
    </row>
    <row r="236" spans="1:14" x14ac:dyDescent="0.2">
      <c r="A236" s="255" t="str">
        <f>výpočty!$R$14</f>
        <v>Vertikální (ze shora dolů)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Zářivě bílá mat (E9)</v>
      </c>
      <c r="E236" t="s">
        <v>2131</v>
      </c>
      <c r="F236">
        <v>1</v>
      </c>
      <c r="G236" s="321" t="str">
        <f>Překlady!$A$142</f>
        <v>Barevné provedení Zářivě bílá v profilu E9 je možné kombinovat jen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Barevné provedení Zářivě bílá v profilu E9 je možné kombinovat jen s vedením Classic a TOP.</v>
      </c>
      <c r="N236">
        <f t="shared" si="11"/>
        <v>1</v>
      </c>
    </row>
    <row r="237" spans="1:14" x14ac:dyDescent="0.2">
      <c r="A237" s="255" t="str">
        <f>výpočty!$R$14</f>
        <v>Vertikální (ze shora dolů)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2131</v>
      </c>
      <c r="F237">
        <v>1</v>
      </c>
      <c r="G237" s="321" t="str">
        <f>Překlady!$A$143</f>
        <v>Barevné provedení Hliník plast v profilu E4 je vhodné na Horizontální vedení v kombinaci s vedením Classic s navíjením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Barevné provedení Hliník plast v profilu E4 je vhodné na Horizontální vedení v kombinaci s vedením Classic s navíjením dozadu.</v>
      </c>
      <c r="N237">
        <f t="shared" si="11"/>
        <v>1</v>
      </c>
    </row>
    <row r="238" spans="1:14" x14ac:dyDescent="0.2">
      <c r="A238" s="255" t="str">
        <f>výpočty!$R$14</f>
        <v>Vertikální (ze shora dolů)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Vertikální (ze shora dolů)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Vertikální (ze shora dolů)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šířka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Vertikální (ze shora dolů)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šířka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Horizontální (zleva doprava)</v>
      </c>
      <c r="B242" s="256" t="str">
        <f>výpočty!$R$9</f>
        <v>Dozadu</v>
      </c>
      <c r="C242" t="str">
        <f>výpočty!$R$3</f>
        <v>TOP Basic - vložený na šroubování plastový</v>
      </c>
      <c r="D242" s="26" t="str">
        <f>výpočty!$W$3</f>
        <v>Černá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Horizontální (zleva doprava)</v>
      </c>
      <c r="B243" s="256" t="str">
        <f>výpočty!$R$9</f>
        <v>Dozadu</v>
      </c>
      <c r="C243" t="str">
        <f>výpočty!$R$3</f>
        <v>TOP Basic - vložený na šroubování plastový</v>
      </c>
      <c r="D243" s="36" t="str">
        <f>výpočty!$W$4</f>
        <v>Bílá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Horizontální (zleva doprava)</v>
      </c>
      <c r="B244" s="256" t="str">
        <f>výpočty!$R$9</f>
        <v>Dozadu</v>
      </c>
      <c r="C244" t="str">
        <f>výpočty!$R$3</f>
        <v>TOP Basic - vložený na šroubování plastový</v>
      </c>
      <c r="D244" s="36" t="str">
        <f>výpočty!$W$5</f>
        <v>Šedá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Horizontální (zleva doprava)</v>
      </c>
      <c r="B245" s="256" t="str">
        <f>výpočty!$R$9</f>
        <v>Dozadu</v>
      </c>
      <c r="C245" t="str">
        <f>výpočty!$R$3</f>
        <v>TOP Basic - vložený na šroubování plastový</v>
      </c>
      <c r="D245" s="36" t="str">
        <f>výpočty!$W$6</f>
        <v>Hliník plast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Horizontální (zleva doprava)</v>
      </c>
      <c r="B246" s="256" t="str">
        <f>výpočty!$R$9</f>
        <v>Dozadu</v>
      </c>
      <c r="C246" t="str">
        <f>výpočty!$R$3</f>
        <v>TOP Basic - vložený na šroubování plastový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Horizontální (zleva doprava)</v>
      </c>
      <c r="B247" s="256" t="str">
        <f>výpočty!$R$9</f>
        <v>Dozadu</v>
      </c>
      <c r="C247" t="str">
        <f>výpočty!$R$3</f>
        <v>TOP Basic - vložený na šroubování plastový</v>
      </c>
      <c r="D247" s="36" t="str">
        <f>výpočty!$W$8</f>
        <v>Třešeň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Horizontální (zleva doprava)</v>
      </c>
      <c r="B248" s="256" t="str">
        <f>výpočty!$R$9</f>
        <v>Dozadu</v>
      </c>
      <c r="C248" t="str">
        <f>výpočty!$R$3</f>
        <v>TOP Basic - vložený na šroubování plastový</v>
      </c>
      <c r="D248" s="36" t="str">
        <f>výpočty!$W$9</f>
        <v>Javor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Horizontální (zleva doprava)</v>
      </c>
      <c r="B249" s="256" t="str">
        <f>výpočty!$R$9</f>
        <v>Dozadu</v>
      </c>
      <c r="C249" t="str">
        <f>výpočty!$R$3</f>
        <v>TOP Basic - vložený na šroubování plastový</v>
      </c>
      <c r="D249" s="36" t="str">
        <f>výpočty!$W$10</f>
        <v>Bříza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Horizontální (zleva doprava)</v>
      </c>
      <c r="B250" s="256" t="str">
        <f>výpočty!$R$9</f>
        <v>Dozadu</v>
      </c>
      <c r="C250" t="str">
        <f>výpočty!$R$3</f>
        <v>TOP Basic - vložený na šroubování plastový</v>
      </c>
      <c r="D250" s="36" t="str">
        <f>výpočty!$W$11</f>
        <v>Třešeň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Horizontální (zleva doprava)</v>
      </c>
      <c r="B251" s="256" t="str">
        <f>výpočty!$R$9</f>
        <v>Dozadu</v>
      </c>
      <c r="C251" t="str">
        <f>výpočty!$R$3</f>
        <v>TOP Basic - vložený na šroubování plastový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Horizontální (zleva doprava)</v>
      </c>
      <c r="B252" s="256" t="str">
        <f>výpočty!$R$9</f>
        <v>Dozadu</v>
      </c>
      <c r="C252" t="str">
        <f>výpočty!$R$3</f>
        <v>TOP Basic - vložený na šroubování plastový</v>
      </c>
      <c r="D252" s="36" t="str">
        <f>výpočty!$W$14</f>
        <v>Zářivě bílá mat (E9)</v>
      </c>
      <c r="E252" s="321" t="s">
        <v>2131</v>
      </c>
      <c r="F252" s="321">
        <v>1</v>
      </c>
      <c r="G252" s="321" t="str">
        <f>Překlady!$A$142</f>
        <v>Barevné provedení Zářivě bílá v profilu E9 je možné kombinovat jen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Barevné provedení Zářivě bílá v profilu E9 je možné kombinovat jen s vedením Classic a TOP.</v>
      </c>
      <c r="N252">
        <f t="shared" si="11"/>
        <v>1</v>
      </c>
    </row>
    <row r="253" spans="1:14" x14ac:dyDescent="0.2">
      <c r="A253" s="255" t="str">
        <f>výpočty!$R$15</f>
        <v>Horizontální (zleva doprava)</v>
      </c>
      <c r="B253" s="256" t="str">
        <f>výpočty!$R$9</f>
        <v>Dozadu</v>
      </c>
      <c r="C253" t="str">
        <f>výpočty!$R$3</f>
        <v>TOP Basic - vložený na šroubování plastový</v>
      </c>
      <c r="D253" s="36" t="str">
        <f>výpočty!$W$15</f>
        <v>Hliník plast (E4)</v>
      </c>
      <c r="E253" t="s">
        <v>2131</v>
      </c>
      <c r="F253">
        <v>1</v>
      </c>
      <c r="G253" s="321" t="str">
        <f>Překlady!$A$143</f>
        <v>Barevné provedení Hliník plast v profilu E4 je vhodné na Horizontální vedení v kombinaci s vedením Classic s navíjením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Barevné provedení Hliník plast v profilu E4 je vhodné na Horizontální vedení v kombinaci s vedením Classic s navíjením dozadu.</v>
      </c>
      <c r="N253">
        <f t="shared" si="11"/>
        <v>1</v>
      </c>
    </row>
    <row r="254" spans="1:14" x14ac:dyDescent="0.2">
      <c r="A254" s="255" t="str">
        <f>výpočty!$R$15</f>
        <v>Horizontální (zleva doprava)</v>
      </c>
      <c r="B254" s="256" t="str">
        <f>výpočty!$R$9</f>
        <v>Dozadu</v>
      </c>
      <c r="C254" t="str">
        <f>výpočty!$R$3</f>
        <v>TOP Basic - vložený na šroubování plastový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Nelze kombinovat systém vedení TOP BASIC s roletovým profilem Metallic line. Nutno zvolit vedení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Nelze kombinovat systém vedení TOP BASIC s roletovým profilem Metallic line. Nutno zvolit vedení TOP.</v>
      </c>
      <c r="N254">
        <f t="shared" si="11"/>
        <v>1</v>
      </c>
    </row>
    <row r="255" spans="1:14" x14ac:dyDescent="0.2">
      <c r="A255" s="255" t="str">
        <f>výpočty!$R$15</f>
        <v>Horizontální (zleva doprava)</v>
      </c>
      <c r="B255" s="256" t="str">
        <f>výpočty!$R$9</f>
        <v>Dozadu</v>
      </c>
      <c r="C255" t="str">
        <f>výpočty!$R$3</f>
        <v>TOP Basic - vložený na šroubování plastový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Nelze kombinovat systém vedení TOP BASIC s roletovým profilem Metallic line. Nutno zvolit vedení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Nelze kombinovat systém vedení TOP BASIC s roletovým profilem Metallic line. Nutno zvolit vedení TOP.</v>
      </c>
      <c r="N255">
        <f t="shared" si="11"/>
        <v>1</v>
      </c>
    </row>
    <row r="256" spans="1:14" x14ac:dyDescent="0.2">
      <c r="A256" s="255" t="str">
        <f>výpočty!$R$15</f>
        <v>Horizontální (zleva doprava)</v>
      </c>
      <c r="B256" s="256" t="str">
        <f>výpočty!$R$9</f>
        <v>Dozadu</v>
      </c>
      <c r="C256" t="str">
        <f>výpočty!$R$3</f>
        <v>TOP Basic - vložený na šroubování plastový</v>
      </c>
      <c r="D256" s="36" t="str">
        <f>výpočty!$W$19</f>
        <v>Hliník šířka 25 mm (metallic-line)</v>
      </c>
      <c r="E256" t="s">
        <v>2131</v>
      </c>
      <c r="F256">
        <v>1</v>
      </c>
      <c r="G256" s="321" t="str">
        <f>Překlady!$A$144</f>
        <v>Nelze kombinovat systém vedení TOP BASIC s roletovým profilem Metallic line. Nutno zvolit vedení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Nelze kombinovat systém vedení TOP BASIC s roletovým profilem Metallic line. Nutno zvolit vedení TOP.</v>
      </c>
      <c r="N256">
        <f t="shared" si="11"/>
        <v>1</v>
      </c>
    </row>
    <row r="257" spans="1:14" ht="13.5" thickBot="1" x14ac:dyDescent="0.25">
      <c r="A257" s="255" t="str">
        <f>výpočty!$R$15</f>
        <v>Horizontální (zleva doprava)</v>
      </c>
      <c r="B257" s="256" t="str">
        <f>výpočty!$R$9</f>
        <v>Dozadu</v>
      </c>
      <c r="C257" t="str">
        <f>výpočty!$R$3</f>
        <v>TOP Basic - vložený na šroubování plastový</v>
      </c>
      <c r="D257" s="27" t="str">
        <f>výpočty!$W$20</f>
        <v>Nerez šířka 25 mm (metallic-line)</v>
      </c>
      <c r="E257" t="s">
        <v>2131</v>
      </c>
      <c r="F257">
        <v>1</v>
      </c>
      <c r="G257" s="321" t="str">
        <f>Překlady!$A$144</f>
        <v>Nelze kombinovat systém vedení TOP BASIC s roletovým profilem Metallic line. Nutno zvolit vedení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Nelze kombinovat systém vedení TOP BASIC s roletovým profilem Metallic line. Nutno zvolit vedení TOP.</v>
      </c>
      <c r="N257">
        <f t="shared" si="11"/>
        <v>1</v>
      </c>
    </row>
    <row r="258" spans="1:14" x14ac:dyDescent="0.2">
      <c r="A258" s="255" t="str">
        <f>výpočty!$R$15</f>
        <v>Horizontální (zleva doprava)</v>
      </c>
      <c r="B258" s="256" t="str">
        <f>výpočty!$R$9</f>
        <v>Dozadu</v>
      </c>
      <c r="C258" t="str">
        <f>výpočty!$R$4</f>
        <v>Classic - vložený na zafrézování</v>
      </c>
      <c r="D258" s="26" t="str">
        <f>výpočty!$W$3</f>
        <v>Černá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Horizontální (zleva doprava)</v>
      </c>
      <c r="B259" s="256" t="str">
        <f>výpočty!$R$9</f>
        <v>Dozadu</v>
      </c>
      <c r="C259" t="str">
        <f>výpočty!$R$4</f>
        <v>Classic - vložený na zafrézování</v>
      </c>
      <c r="D259" s="36" t="str">
        <f>výpočty!$W$4</f>
        <v>Bílá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Horizontální (zleva doprava)</v>
      </c>
      <c r="B260" s="256" t="str">
        <f>výpočty!$R$9</f>
        <v>Dozadu</v>
      </c>
      <c r="C260" t="str">
        <f>výpočty!$R$4</f>
        <v>Classic - vložený na zafrézování</v>
      </c>
      <c r="D260" s="36" t="str">
        <f>výpočty!$W$5</f>
        <v>Šedá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Horizontální (zleva doprava)</v>
      </c>
      <c r="B261" s="256" t="str">
        <f>výpočty!$R$9</f>
        <v>Dozadu</v>
      </c>
      <c r="C261" t="str">
        <f>výpočty!$R$4</f>
        <v>Classic - vložený na zafrézování</v>
      </c>
      <c r="D261" s="36" t="str">
        <f>výpočty!$W$6</f>
        <v>Hliník plast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Horizontální (zleva doprava)</v>
      </c>
      <c r="B262" s="256" t="str">
        <f>výpočty!$R$9</f>
        <v>Dozadu</v>
      </c>
      <c r="C262" t="str">
        <f>výpočty!$R$4</f>
        <v>Classic - vložený na zafrézování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Horizontální (zleva doprava)</v>
      </c>
      <c r="B263" s="256" t="str">
        <f>výpočty!$R$9</f>
        <v>Dozadu</v>
      </c>
      <c r="C263" t="str">
        <f>výpočty!$R$4</f>
        <v>Classic - vložený na zafrézování</v>
      </c>
      <c r="D263" s="36" t="str">
        <f>výpočty!$W$8</f>
        <v>Třešeň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Horizontální (zleva doprava)</v>
      </c>
      <c r="B264" s="256" t="str">
        <f>výpočty!$R$9</f>
        <v>Dozadu</v>
      </c>
      <c r="C264" t="str">
        <f>výpočty!$R$4</f>
        <v>Classic - vložený na zafrézování</v>
      </c>
      <c r="D264" s="36" t="str">
        <f>výpočty!$W$9</f>
        <v>Javor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Horizontální (zleva doprava)</v>
      </c>
      <c r="B265" s="256" t="str">
        <f>výpočty!$R$9</f>
        <v>Dozadu</v>
      </c>
      <c r="C265" t="str">
        <f>výpočty!$R$4</f>
        <v>Classic - vložený na zafrézování</v>
      </c>
      <c r="D265" s="36" t="str">
        <f>výpočty!$W$10</f>
        <v>Bříza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Horizontální (zleva doprava)</v>
      </c>
      <c r="B266" s="256" t="str">
        <f>výpočty!$R$9</f>
        <v>Dozadu</v>
      </c>
      <c r="C266" t="str">
        <f>výpočty!$R$4</f>
        <v>Classic - vložený na zafrézování</v>
      </c>
      <c r="D266" s="36" t="str">
        <f>výpočty!$W$11</f>
        <v>Třešeň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Horizontální (zleva doprava)</v>
      </c>
      <c r="B267" s="256" t="str">
        <f>výpočty!$R$9</f>
        <v>Dozadu</v>
      </c>
      <c r="C267" t="str">
        <f>výpočty!$R$4</f>
        <v>Classic - vložený na zafrézování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Horizontální (zleva doprava)</v>
      </c>
      <c r="B268" s="256" t="str">
        <f>výpočty!$R$9</f>
        <v>Dozadu</v>
      </c>
      <c r="C268" t="str">
        <f>výpočty!$R$4</f>
        <v>Classic - vložený na zafrézování</v>
      </c>
      <c r="D268" s="350" t="str">
        <f>výpočty!$W$14</f>
        <v>Zářivě bílá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Horizontální (zleva doprava)</v>
      </c>
      <c r="B269" s="256" t="str">
        <f>výpočty!$R$9</f>
        <v>Dozadu</v>
      </c>
      <c r="C269" t="str">
        <f>výpočty!$R$4</f>
        <v>Classic - vložený na zafrézování</v>
      </c>
      <c r="D269" s="36" t="str">
        <f>výpočty!$W$15</f>
        <v>Hliník plast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Horizontální (zleva doprava)</v>
      </c>
      <c r="B270" s="256" t="str">
        <f>výpočty!$R$9</f>
        <v>Dozadu</v>
      </c>
      <c r="C270" t="str">
        <f>výpočty!$R$4</f>
        <v>Classic - vložený na zafrézování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Horizontální (zleva doprava)</v>
      </c>
      <c r="B271" s="256" t="str">
        <f>výpočty!$R$9</f>
        <v>Dozadu</v>
      </c>
      <c r="C271" t="str">
        <f>výpočty!$R$4</f>
        <v>Classic - vložený na zafrézování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Horizontální (zleva doprava)</v>
      </c>
      <c r="B272" s="256" t="str">
        <f>výpočty!$R$9</f>
        <v>Dozadu</v>
      </c>
      <c r="C272" t="str">
        <f>výpočty!$R$4</f>
        <v>Classic - vložený na zafrézování</v>
      </c>
      <c r="D272" s="36" t="str">
        <f>výpočty!$W$19</f>
        <v>Hliník šířka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Horizontální (zleva doprava)</v>
      </c>
      <c r="B273" s="256" t="str">
        <f>výpočty!$R$9</f>
        <v>Dozadu</v>
      </c>
      <c r="C273" t="str">
        <f>výpočty!$R$4</f>
        <v>Classic - vložený na zafrézování</v>
      </c>
      <c r="D273" s="27" t="str">
        <f>výpočty!$W$20</f>
        <v>Nerez šířka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Horizontální (zleva doprava)</v>
      </c>
      <c r="B274" s="256" t="str">
        <f>výpočty!$R$9</f>
        <v>Dozadu</v>
      </c>
      <c r="C274" t="str">
        <f>výpočty!$R$5</f>
        <v xml:space="preserve">Frame - naložený s krycí lištou </v>
      </c>
      <c r="D274" s="26" t="str">
        <f>výpočty!$W$3</f>
        <v>Černá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Horizontální (zleva doprava)</v>
      </c>
      <c r="B275" s="256" t="str">
        <f>výpočty!$R$9</f>
        <v>Dozadu</v>
      </c>
      <c r="C275" t="str">
        <f>výpočty!$R$5</f>
        <v xml:space="preserve">Frame - naložený s krycí lištou </v>
      </c>
      <c r="D275" s="36" t="str">
        <f>výpočty!$W$4</f>
        <v>Bílá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Horizontální (zleva doprava)</v>
      </c>
      <c r="B276" s="256" t="str">
        <f>výpočty!$R$9</f>
        <v>Dozadu</v>
      </c>
      <c r="C276" t="str">
        <f>výpočty!$R$5</f>
        <v xml:space="preserve">Frame - naložený s krycí lištou </v>
      </c>
      <c r="D276" s="36" t="str">
        <f>výpočty!$W$5</f>
        <v>Šedá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Horizontální (zleva doprava)</v>
      </c>
      <c r="B277" s="256" t="str">
        <f>výpočty!$R$9</f>
        <v>Dozadu</v>
      </c>
      <c r="C277" t="str">
        <f>výpočty!$R$5</f>
        <v xml:space="preserve">Frame - naložený s krycí lištou </v>
      </c>
      <c r="D277" s="36" t="str">
        <f>výpočty!$W$6</f>
        <v>Hliník plast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Horizontální (zleva doprava)</v>
      </c>
      <c r="B278" s="256" t="str">
        <f>výpočty!$R$9</f>
        <v>Dozadu</v>
      </c>
      <c r="C278" t="str">
        <f>výpočty!$R$5</f>
        <v xml:space="preserve">Frame - naložený s krycí lištou 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Barevné provedení BUK v profilu E23 již nelze kombinovat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Barevné provedení BUK v profilu E23 již nelze kombinovat s vedením FRAME.</v>
      </c>
      <c r="N278">
        <f t="shared" si="14"/>
        <v>0</v>
      </c>
    </row>
    <row r="279" spans="1:14" x14ac:dyDescent="0.2">
      <c r="A279" s="255" t="str">
        <f>výpočty!$R$15</f>
        <v>Horizontální (zleva doprava)</v>
      </c>
      <c r="B279" s="256" t="str">
        <f>výpočty!$R$9</f>
        <v>Dozadu</v>
      </c>
      <c r="C279" t="str">
        <f>výpočty!$R$5</f>
        <v xml:space="preserve">Frame - naložený s krycí lištou </v>
      </c>
      <c r="D279" s="36" t="str">
        <f>výpočty!$W$8</f>
        <v>Třešeň (E23)</v>
      </c>
      <c r="E279" t="s">
        <v>2130</v>
      </c>
      <c r="F279">
        <v>1</v>
      </c>
      <c r="G279" t="str">
        <f>Překlady!$A$176</f>
        <v>Barevné provedení Třešeň v profilu E23 již nelze kombinovat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Barevné provedení Třešeň v profilu E23 již nelze kombinovat s vedením FRAME.</v>
      </c>
      <c r="N279">
        <f t="shared" si="14"/>
        <v>1</v>
      </c>
    </row>
    <row r="280" spans="1:14" x14ac:dyDescent="0.2">
      <c r="A280" s="255" t="str">
        <f>výpočty!$R$15</f>
        <v>Horizontální (zleva doprava)</v>
      </c>
      <c r="B280" s="256" t="str">
        <f>výpočty!$R$9</f>
        <v>Dozadu</v>
      </c>
      <c r="C280" t="str">
        <f>výpočty!$R$5</f>
        <v xml:space="preserve">Frame - naložený s krycí lištou </v>
      </c>
      <c r="D280" s="36" t="str">
        <f>výpočty!$W$9</f>
        <v>Javor (E23)</v>
      </c>
      <c r="E280" t="s">
        <v>2130</v>
      </c>
      <c r="F280">
        <v>1</v>
      </c>
      <c r="G280" t="str">
        <f>Překlady!$A$177</f>
        <v>Barevné provedení Javor v profilu E23 již nelze kombinovat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Barevné provedení Javor v profilu E23 již nelze kombinovat s vedením FRAME.</v>
      </c>
      <c r="N280">
        <f t="shared" si="14"/>
        <v>1</v>
      </c>
    </row>
    <row r="281" spans="1:14" x14ac:dyDescent="0.2">
      <c r="A281" s="255" t="str">
        <f>výpočty!$R$15</f>
        <v>Horizontální (zleva doprava)</v>
      </c>
      <c r="B281" s="256" t="str">
        <f>výpočty!$R$9</f>
        <v>Dozadu</v>
      </c>
      <c r="C281" t="str">
        <f>výpočty!$R$5</f>
        <v xml:space="preserve">Frame - naložený s krycí lištou </v>
      </c>
      <c r="D281" s="36" t="str">
        <f>výpočty!$W$10</f>
        <v>Bříza (E23)</v>
      </c>
      <c r="E281" t="s">
        <v>2130</v>
      </c>
      <c r="F281">
        <v>1</v>
      </c>
      <c r="G281" t="str">
        <f>Překlady!$A$175</f>
        <v>Barevné provedení Bříza v profilu E23 již nelze kombinovat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Barevné provedení Bříza v profilu E23 již nelze kombinovat s vedením FRAME.</v>
      </c>
      <c r="N281">
        <f t="shared" si="14"/>
        <v>1</v>
      </c>
    </row>
    <row r="282" spans="1:14" x14ac:dyDescent="0.2">
      <c r="A282" s="255" t="str">
        <f>výpočty!$R$15</f>
        <v>Horizontální (zleva doprava)</v>
      </c>
      <c r="B282" s="256" t="str">
        <f>výpočty!$R$9</f>
        <v>Dozadu</v>
      </c>
      <c r="C282" t="str">
        <f>výpočty!$R$5</f>
        <v xml:space="preserve">Frame - naložený s krycí lištou </v>
      </c>
      <c r="D282" s="36" t="str">
        <f>výpočty!$W$11</f>
        <v>Třešeň havana (E23)</v>
      </c>
      <c r="E282" t="s">
        <v>2130</v>
      </c>
      <c r="F282">
        <v>1</v>
      </c>
      <c r="G282" t="str">
        <f>Překlady!$A$170</f>
        <v>Barevné provedení Třešeň havana v profilu E23 již nelze kombinovat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Barevné provedení Třešeň havana v profilu E23 již nelze kombinovat s vedením FRAME.</v>
      </c>
      <c r="N282">
        <f t="shared" si="14"/>
        <v>1</v>
      </c>
    </row>
    <row r="283" spans="1:14" x14ac:dyDescent="0.2">
      <c r="A283" s="255" t="str">
        <f>výpočty!$R$15</f>
        <v>Horizontální (zleva doprava)</v>
      </c>
      <c r="B283" s="256" t="str">
        <f>výpočty!$R$9</f>
        <v>Dozadu</v>
      </c>
      <c r="C283" t="str">
        <f>výpočty!$R$5</f>
        <v xml:space="preserve">Frame - naložený s krycí lištou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Horizontální (zleva doprava)</v>
      </c>
      <c r="B284" s="256" t="str">
        <f>výpočty!$R$9</f>
        <v>Dozadu</v>
      </c>
      <c r="C284" t="str">
        <f>výpočty!$R$5</f>
        <v xml:space="preserve">Frame - naložený s krycí lištou </v>
      </c>
      <c r="D284" s="36" t="str">
        <f>výpočty!$W$14</f>
        <v>Zářivě bílá mat (E9)</v>
      </c>
      <c r="E284" s="321" t="s">
        <v>2131</v>
      </c>
      <c r="F284" s="321">
        <v>1</v>
      </c>
      <c r="G284" s="321" t="str">
        <f>Překlady!$A$142</f>
        <v>Barevné provedení Zářivě bílá v profilu E9 je možné kombinovat jen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Barevné provedení Zářivě bílá v profilu E9 je možné kombinovat jen s vedením Classic a TOP.</v>
      </c>
      <c r="N284">
        <f t="shared" si="14"/>
        <v>1</v>
      </c>
    </row>
    <row r="285" spans="1:14" x14ac:dyDescent="0.2">
      <c r="A285" s="255" t="str">
        <f>výpočty!$R$15</f>
        <v>Horizontální (zleva doprava)</v>
      </c>
      <c r="B285" s="256" t="str">
        <f>výpočty!$R$9</f>
        <v>Dozadu</v>
      </c>
      <c r="C285" t="str">
        <f>výpočty!$R$5</f>
        <v xml:space="preserve">Frame - naložený s krycí lištou </v>
      </c>
      <c r="D285" s="36" t="str">
        <f>výpočty!$W$15</f>
        <v>Hliník plast (E4)</v>
      </c>
      <c r="E285" t="s">
        <v>2131</v>
      </c>
      <c r="F285">
        <v>1</v>
      </c>
      <c r="G285" s="321" t="str">
        <f>Překlady!$A$143</f>
        <v>Barevné provedení Hliník plast v profilu E4 je vhodné na Horizontální vedení v kombinaci s vedením Classic s navíjením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Barevné provedení Hliník plast v profilu E4 je vhodné na Horizontální vedení v kombinaci s vedením Classic s navíjením dozadu.</v>
      </c>
      <c r="N285">
        <f t="shared" si="14"/>
        <v>1</v>
      </c>
    </row>
    <row r="286" spans="1:14" x14ac:dyDescent="0.2">
      <c r="A286" s="255" t="str">
        <f>výpočty!$R$15</f>
        <v>Horizontální (zleva doprava)</v>
      </c>
      <c r="B286" s="256" t="str">
        <f>výpočty!$R$9</f>
        <v>Dozadu</v>
      </c>
      <c r="C286" t="str">
        <f>výpočty!$R$5</f>
        <v xml:space="preserve">Frame - naložený s krycí lištou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Horizontální (zleva doprava)</v>
      </c>
      <c r="B287" s="256" t="str">
        <f>výpočty!$R$9</f>
        <v>Dozadu</v>
      </c>
      <c r="C287" t="str">
        <f>výpočty!$R$5</f>
        <v xml:space="preserve">Frame - naložený s krycí lištou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Horizontální (zleva doprava)</v>
      </c>
      <c r="B288" s="256" t="str">
        <f>výpočty!$R$9</f>
        <v>Dozadu</v>
      </c>
      <c r="C288" t="str">
        <f>výpočty!$R$5</f>
        <v xml:space="preserve">Frame - naložený s krycí lištou </v>
      </c>
      <c r="D288" s="36" t="str">
        <f>výpočty!$W$19</f>
        <v>Hliník šířka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Horizontální (zleva doprava)</v>
      </c>
      <c r="B289" s="256" t="str">
        <f>výpočty!$R$9</f>
        <v>Dozadu</v>
      </c>
      <c r="C289" t="str">
        <f>výpočty!$R$5</f>
        <v xml:space="preserve">Frame - naložený s krycí lištou </v>
      </c>
      <c r="D289" s="27" t="str">
        <f>výpočty!$W$20</f>
        <v>Nerez šířka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Horizontální (zleva doprava)</v>
      </c>
      <c r="B290" s="256" t="str">
        <f>výpočty!$R$9</f>
        <v>Dozadu</v>
      </c>
      <c r="C290" t="str">
        <f>výpočty!$R$6</f>
        <v>TOP - vložený na šroubování kovový s krycí lištou</v>
      </c>
      <c r="D290" s="26" t="str">
        <f>výpočty!$W$3</f>
        <v>Černá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Horizontální (zleva doprava)</v>
      </c>
      <c r="B291" s="256" t="str">
        <f>výpočty!$R$9</f>
        <v>Dozadu</v>
      </c>
      <c r="C291" t="str">
        <f>výpočty!$R$6</f>
        <v>TOP - vložený na šroubování kovový s krycí lištou</v>
      </c>
      <c r="D291" s="36" t="str">
        <f>výpočty!$W$4</f>
        <v>Bílá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Horizontální (zleva doprava)</v>
      </c>
      <c r="B292" s="256" t="str">
        <f>výpočty!$R$9</f>
        <v>Dozadu</v>
      </c>
      <c r="C292" t="str">
        <f>výpočty!$R$6</f>
        <v>TOP - vložený na šroubování kovový s krycí lištou</v>
      </c>
      <c r="D292" s="36" t="str">
        <f>výpočty!$W$5</f>
        <v>Šedá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Horizontální (zleva doprava)</v>
      </c>
      <c r="B293" s="256" t="str">
        <f>výpočty!$R$9</f>
        <v>Dozadu</v>
      </c>
      <c r="C293" t="str">
        <f>výpočty!$R$6</f>
        <v>TOP - vložený na šroubování kovový s krycí lištou</v>
      </c>
      <c r="D293" s="36" t="str">
        <f>výpočty!$W$6</f>
        <v>Hliník plast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Horizontální (zleva doprava)</v>
      </c>
      <c r="B294" s="256" t="str">
        <f>výpočty!$R$9</f>
        <v>Dozadu</v>
      </c>
      <c r="C294" t="str">
        <f>výpočty!$R$6</f>
        <v>TOP - vložený na šroubování kovový s krycí lištou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Horizontální (zleva doprava)</v>
      </c>
      <c r="B295" s="256" t="str">
        <f>výpočty!$R$9</f>
        <v>Dozadu</v>
      </c>
      <c r="C295" t="str">
        <f>výpočty!$R$6</f>
        <v>TOP - vložený na šroubování kovový s krycí lištou</v>
      </c>
      <c r="D295" s="36" t="str">
        <f>výpočty!$W$8</f>
        <v>Třešeň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Horizontální (zleva doprava)</v>
      </c>
      <c r="B296" s="256" t="str">
        <f>výpočty!$R$9</f>
        <v>Dozadu</v>
      </c>
      <c r="C296" t="str">
        <f>výpočty!$R$6</f>
        <v>TOP - vložený na šroubování kovový s krycí lištou</v>
      </c>
      <c r="D296" s="36" t="str">
        <f>výpočty!$W$9</f>
        <v>Javor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Horizontální (zleva doprava)</v>
      </c>
      <c r="B297" s="256" t="str">
        <f>výpočty!$R$9</f>
        <v>Dozadu</v>
      </c>
      <c r="C297" t="str">
        <f>výpočty!$R$6</f>
        <v>TOP - vložený na šroubování kovový s krycí lištou</v>
      </c>
      <c r="D297" s="36" t="str">
        <f>výpočty!$W$10</f>
        <v>Bříza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Horizontální (zleva doprava)</v>
      </c>
      <c r="B298" s="256" t="str">
        <f>výpočty!$R$9</f>
        <v>Dozadu</v>
      </c>
      <c r="C298" t="str">
        <f>výpočty!$R$6</f>
        <v>TOP - vložený na šroubování kovový s krycí lištou</v>
      </c>
      <c r="D298" s="36" t="str">
        <f>výpočty!$W$11</f>
        <v>Třešeň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Horizontální (zleva doprava)</v>
      </c>
      <c r="B299" s="256" t="str">
        <f>výpočty!$R$9</f>
        <v>Dozadu</v>
      </c>
      <c r="C299" t="str">
        <f>výpočty!$R$6</f>
        <v>TOP - vložený na šroubování kovový s krycí lištou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Horizontální (zleva doprava)</v>
      </c>
      <c r="B300" s="256" t="str">
        <f>výpočty!$R$9</f>
        <v>Dozadu</v>
      </c>
      <c r="C300" t="str">
        <f>výpočty!$R$6</f>
        <v>TOP - vložený na šroubování kovový s krycí lištou</v>
      </c>
      <c r="D300" s="350" t="str">
        <f>výpočty!$W$14</f>
        <v>Zářivě bílá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Horizontální (zleva doprava)</v>
      </c>
      <c r="B301" s="256" t="str">
        <f>výpočty!$R$9</f>
        <v>Dozadu</v>
      </c>
      <c r="C301" t="str">
        <f>výpočty!$R$6</f>
        <v>TOP - vložený na šroubování kovový s krycí lištou</v>
      </c>
      <c r="D301" s="36" t="str">
        <f>výpočty!$W$15</f>
        <v>Hliník plast (E4)</v>
      </c>
      <c r="E301" t="s">
        <v>2131</v>
      </c>
      <c r="F301">
        <v>1</v>
      </c>
      <c r="G301" s="321" t="str">
        <f>Překlady!$A$143</f>
        <v>Barevné provedení Hliník plast v profilu E4 je vhodné na Horizontální vedení v kombinaci s vedením Classic s navíjením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Barevné provedení Hliník plast v profilu E4 je vhodné na Horizontální vedení v kombinaci s vedením Classic s navíjením dozadu.</v>
      </c>
      <c r="N301">
        <f t="shared" si="14"/>
        <v>1</v>
      </c>
    </row>
    <row r="302" spans="1:14" x14ac:dyDescent="0.2">
      <c r="A302" s="255" t="str">
        <f>výpočty!$R$15</f>
        <v>Horizontální (zleva doprava)</v>
      </c>
      <c r="B302" s="256" t="str">
        <f>výpočty!$R$9</f>
        <v>Dozadu</v>
      </c>
      <c r="C302" t="str">
        <f>výpočty!$R$6</f>
        <v>TOP - vložený na šroubování kovový s krycí lištou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Horizontální (zleva doprava)</v>
      </c>
      <c r="B303" s="256" t="str">
        <f>výpočty!$R$9</f>
        <v>Dozadu</v>
      </c>
      <c r="C303" t="str">
        <f>výpočty!$R$6</f>
        <v>TOP - vložený na šroubování kovový s krycí lištou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Horizontální (zleva doprava)</v>
      </c>
      <c r="B304" s="256" t="str">
        <f>výpočty!$R$9</f>
        <v>Dozadu</v>
      </c>
      <c r="C304" t="str">
        <f>výpočty!$R$6</f>
        <v>TOP - vložený na šroubování kovový s krycí lištou</v>
      </c>
      <c r="D304" s="36" t="str">
        <f>výpočty!$W$19</f>
        <v>Hliník šířka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Horizontální (zleva doprava)</v>
      </c>
      <c r="B305" s="256" t="str">
        <f>výpočty!$R$9</f>
        <v>Dozadu</v>
      </c>
      <c r="C305" t="str">
        <f>výpočty!$R$6</f>
        <v>TOP - vložený na šroubování kovový s krycí lištou</v>
      </c>
      <c r="D305" s="27" t="str">
        <f>výpočty!$W$20</f>
        <v>Nerez šířka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Horizontální (zleva doprava)</v>
      </c>
      <c r="B306" s="256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Černá (E23)</v>
      </c>
      <c r="E306" t="s">
        <v>2131</v>
      </c>
      <c r="F306">
        <v>1</v>
      </c>
      <c r="G306" s="321" t="str">
        <f>Překlady!$A$153</f>
        <v>U vedení dozadu a do šneku nelze použít vedení Naložený systém vedení 29mm a mech C3. Nutno zvolit verzi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vedení dozadu a do šneku nelze použít vedení Naložený systém vedení 29mm a mech C3. Nutno zvolit verzi FRAME.</v>
      </c>
      <c r="N306">
        <f t="shared" si="14"/>
        <v>1</v>
      </c>
    </row>
    <row r="307" spans="1:14" x14ac:dyDescent="0.2">
      <c r="A307" s="255" t="str">
        <f>výpočty!$R$15</f>
        <v>Horizontální (zleva doprava)</v>
      </c>
      <c r="B307" s="256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Bílá (E23)</v>
      </c>
      <c r="E307" t="s">
        <v>2131</v>
      </c>
      <c r="F307">
        <v>1</v>
      </c>
      <c r="G307" s="321" t="str">
        <f>Překlady!$A$153</f>
        <v>U vedení dozadu a do šneku nelze použít vedení Naložený systém vedení 29mm a mech C3. Nutno zvolit verzi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vedení dozadu a do šneku nelze použít vedení Naložený systém vedení 29mm a mech C3. Nutno zvolit verzi FRAME.</v>
      </c>
      <c r="N307">
        <f t="shared" si="14"/>
        <v>1</v>
      </c>
    </row>
    <row r="308" spans="1:14" x14ac:dyDescent="0.2">
      <c r="A308" s="255" t="str">
        <f>výpočty!$R$15</f>
        <v>Horizontální (zleva doprava)</v>
      </c>
      <c r="B308" s="256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2131</v>
      </c>
      <c r="F308">
        <v>1</v>
      </c>
      <c r="G308" s="321" t="str">
        <f>Překlady!$A$153</f>
        <v>U vedení dozadu a do šneku nelze použít vedení Naložený systém vedení 29mm a mech C3. Nutno zvolit verzi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vedení dozadu a do šneku nelze použít vedení Naložený systém vedení 29mm a mech C3. Nutno zvolit verzi FRAME.</v>
      </c>
      <c r="N308">
        <f t="shared" si="14"/>
        <v>1</v>
      </c>
    </row>
    <row r="309" spans="1:14" x14ac:dyDescent="0.2">
      <c r="A309" s="255" t="str">
        <f>výpočty!$R$15</f>
        <v>Horizontální (zleva doprava)</v>
      </c>
      <c r="B309" s="256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2131</v>
      </c>
      <c r="F309">
        <v>1</v>
      </c>
      <c r="G309" s="321" t="str">
        <f>Překlady!$A$153</f>
        <v>U vedení dozadu a do šneku nelze použít vedení Naložený systém vedení 29mm a mech C3. Nutno zvolit verzi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vedení dozadu a do šneku nelze použít vedení Naložený systém vedení 29mm a mech C3. Nutno zvolit verzi FRAME.</v>
      </c>
      <c r="N309">
        <f t="shared" si="14"/>
        <v>1</v>
      </c>
    </row>
    <row r="310" spans="1:14" x14ac:dyDescent="0.2">
      <c r="A310" s="255" t="str">
        <f>výpočty!$R$15</f>
        <v>Horizontální (zleva doprava)</v>
      </c>
      <c r="B310" s="256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U vedení dozadu a do šneku nelze použít vedení Naložený systém vedení 29mm a mech C3. Nutno zvolit verzi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vedení dozadu a do šneku nelze použít vedení Naložený systém vedení 29mm a mech C3. Nutno zvolit verzi FRAME.</v>
      </c>
      <c r="N310">
        <f t="shared" si="14"/>
        <v>1</v>
      </c>
    </row>
    <row r="311" spans="1:14" x14ac:dyDescent="0.2">
      <c r="A311" s="255" t="str">
        <f>výpočty!$R$15</f>
        <v>Horizontální (zleva doprava)</v>
      </c>
      <c r="B311" s="256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Třešeň (E23)</v>
      </c>
      <c r="E311" t="s">
        <v>2131</v>
      </c>
      <c r="F311">
        <v>1</v>
      </c>
      <c r="G311" s="321" t="str">
        <f>Překlady!$A$153</f>
        <v>U vedení dozadu a do šneku nelze použít vedení Naložený systém vedení 29mm a mech C3. Nutno zvolit verzi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vedení dozadu a do šneku nelze použít vedení Naložený systém vedení 29mm a mech C3. Nutno zvolit verzi FRAME.</v>
      </c>
      <c r="N311">
        <f t="shared" si="14"/>
        <v>1</v>
      </c>
    </row>
    <row r="312" spans="1:14" x14ac:dyDescent="0.2">
      <c r="A312" s="255" t="str">
        <f>výpočty!$R$15</f>
        <v>Horizontální (zleva doprava)</v>
      </c>
      <c r="B312" s="256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2131</v>
      </c>
      <c r="F312">
        <v>1</v>
      </c>
      <c r="G312" s="321" t="str">
        <f>Překlady!$A$153</f>
        <v>U vedení dozadu a do šneku nelze použít vedení Naložený systém vedení 29mm a mech C3. Nutno zvolit verzi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vedení dozadu a do šneku nelze použít vedení Naložený systém vedení 29mm a mech C3. Nutno zvolit verzi FRAME.</v>
      </c>
      <c r="N312">
        <f t="shared" si="14"/>
        <v>1</v>
      </c>
    </row>
    <row r="313" spans="1:14" x14ac:dyDescent="0.2">
      <c r="A313" s="255" t="str">
        <f>výpočty!$R$15</f>
        <v>Horizontální (zleva doprava)</v>
      </c>
      <c r="B313" s="256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Bříza (E23)</v>
      </c>
      <c r="E313" t="s">
        <v>2131</v>
      </c>
      <c r="F313">
        <v>1</v>
      </c>
      <c r="G313" s="321" t="str">
        <f>Překlady!$A$153</f>
        <v>U vedení dozadu a do šneku nelze použít vedení Naložený systém vedení 29mm a mech C3. Nutno zvolit verzi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vedení dozadu a do šneku nelze použít vedení Naložený systém vedení 29mm a mech C3. Nutno zvolit verzi FRAME.</v>
      </c>
      <c r="N313">
        <f t="shared" si="14"/>
        <v>1</v>
      </c>
    </row>
    <row r="314" spans="1:14" x14ac:dyDescent="0.2">
      <c r="A314" s="255" t="str">
        <f>výpočty!$R$15</f>
        <v>Horizontální (zleva doprava)</v>
      </c>
      <c r="B314" s="256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Třešeň havana (E23)</v>
      </c>
      <c r="E314" t="s">
        <v>2131</v>
      </c>
      <c r="F314">
        <v>1</v>
      </c>
      <c r="G314" s="321" t="str">
        <f>Překlady!$A$153</f>
        <v>U vedení dozadu a do šneku nelze použít vedení Naložený systém vedení 29mm a mech C3. Nutno zvolit verzi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vedení dozadu a do šneku nelze použít vedení Naložený systém vedení 29mm a mech C3. Nutno zvolit verzi FRAME.</v>
      </c>
      <c r="N314">
        <f t="shared" si="14"/>
        <v>1</v>
      </c>
    </row>
    <row r="315" spans="1:14" x14ac:dyDescent="0.2">
      <c r="A315" s="255" t="str">
        <f>výpočty!$R$15</f>
        <v>Horizontální (zleva doprava)</v>
      </c>
      <c r="B315" s="256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U vedení dozadu a do šneku nelze použít vedení Naložený systém vedení 29mm a mech C3. Nutno zvolit verzi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vedení dozadu a do šneku nelze použít vedení Naložený systém vedení 29mm a mech C3. Nutno zvolit verzi FRAME.</v>
      </c>
      <c r="N315">
        <f t="shared" si="14"/>
        <v>1</v>
      </c>
    </row>
    <row r="316" spans="1:14" x14ac:dyDescent="0.2">
      <c r="A316" s="255" t="str">
        <f>výpočty!$R$15</f>
        <v>Horizontální (zleva doprava)</v>
      </c>
      <c r="B316" s="256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Zářivě bílá mat (E9)</v>
      </c>
      <c r="E316" t="s">
        <v>2131</v>
      </c>
      <c r="F316">
        <v>1</v>
      </c>
      <c r="G316" s="321" t="str">
        <f>Překlady!$A$142</f>
        <v>Barevné provedení Zářivě bílá v profilu E9 je možné kombinovat jen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Barevné provedení Zářivě bílá v profilu E9 je možné kombinovat jen s vedením Classic a TOP.</v>
      </c>
      <c r="N316">
        <f t="shared" si="14"/>
        <v>1</v>
      </c>
    </row>
    <row r="317" spans="1:14" x14ac:dyDescent="0.2">
      <c r="A317" s="255" t="str">
        <f>výpočty!$R$15</f>
        <v>Horizontální (zleva doprava)</v>
      </c>
      <c r="B317" s="256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2131</v>
      </c>
      <c r="F317">
        <v>1</v>
      </c>
      <c r="G317" s="321" t="str">
        <f>Překlady!$A$143</f>
        <v>Barevné provedení Hliník plast v profilu E4 je vhodné na Horizontální vedení v kombinaci s vedením Classic s navíjením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Barevné provedení Hliník plast v profilu E4 je vhodné na Horizontální vedení v kombinaci s vedením Classic s navíjením dozadu.</v>
      </c>
      <c r="N317">
        <f t="shared" si="14"/>
        <v>1</v>
      </c>
    </row>
    <row r="318" spans="1:14" x14ac:dyDescent="0.2">
      <c r="A318" s="255" t="str">
        <f>výpočty!$R$15</f>
        <v>Horizontální (zleva doprava)</v>
      </c>
      <c r="B318" s="256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U vedení dozadu a do šneku nelze použít vedení Naložený systém vedení 29mm a mech C3. Nutno zvolit verzi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vedení dozadu a do šneku nelze použít vedení Naložený systém vedení 29mm a mech C3. Nutno zvolit verzi FRAME.</v>
      </c>
      <c r="N318">
        <f t="shared" si="14"/>
        <v>1</v>
      </c>
    </row>
    <row r="319" spans="1:14" x14ac:dyDescent="0.2">
      <c r="A319" s="255" t="str">
        <f>výpočty!$R$15</f>
        <v>Horizontální (zleva doprava)</v>
      </c>
      <c r="B319" s="256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U vedení dozadu a do šneku nelze použít vedení Naložený systém vedení 29mm a mech C3. Nutno zvolit verzi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vedení dozadu a do šneku nelze použít vedení Naložený systém vedení 29mm a mech C3. Nutno zvolit verzi FRAME.</v>
      </c>
      <c r="N319">
        <f t="shared" si="14"/>
        <v>1</v>
      </c>
    </row>
    <row r="320" spans="1:14" x14ac:dyDescent="0.2">
      <c r="A320" s="255" t="str">
        <f>výpočty!$R$15</f>
        <v>Horizontální (zleva doprava)</v>
      </c>
      <c r="B320" s="256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šířka 25 mm (metallic-line)</v>
      </c>
      <c r="E320" t="s">
        <v>2131</v>
      </c>
      <c r="F320">
        <v>1</v>
      </c>
      <c r="G320" s="321" t="str">
        <f>Překlady!$A$153</f>
        <v>U vedení dozadu a do šneku nelze použít vedení Naložený systém vedení 29mm a mech C3. Nutno zvolit verzi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vedení dozadu a do šneku nelze použít vedení Naložený systém vedení 29mm a mech C3. Nutno zvolit verzi FRAME.</v>
      </c>
      <c r="N320">
        <f t="shared" si="14"/>
        <v>1</v>
      </c>
    </row>
    <row r="321" spans="1:14" ht="13.5" thickBot="1" x14ac:dyDescent="0.25">
      <c r="A321" s="255" t="str">
        <f>výpočty!$R$15</f>
        <v>Horizontální (zleva doprava)</v>
      </c>
      <c r="B321" s="256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šířka 25 mm (metallic-line)</v>
      </c>
      <c r="E321" t="s">
        <v>2131</v>
      </c>
      <c r="F321">
        <v>1</v>
      </c>
      <c r="G321" s="321" t="str">
        <f>Překlady!$A$153</f>
        <v>U vedení dozadu a do šneku nelze použít vedení Naložený systém vedení 29mm a mech C3. Nutno zvolit verzi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vedení dozadu a do šneku nelze použít vedení Naložený systém vedení 29mm a mech C3. Nutno zvolit verzi FRAME.</v>
      </c>
      <c r="N321">
        <f t="shared" si="14"/>
        <v>1</v>
      </c>
    </row>
    <row r="322" spans="1:14" x14ac:dyDescent="0.2">
      <c r="A322" s="255" t="str">
        <f>výpočty!$R$15</f>
        <v>Horizontální (zleva doprava)</v>
      </c>
      <c r="B322" s="256" t="str">
        <f>výpočty!$R$10</f>
        <v>Do šneku</v>
      </c>
      <c r="C322" t="str">
        <f>výpočty!$R$3</f>
        <v>TOP Basic - vložený na šroubování plastový</v>
      </c>
      <c r="D322" s="26" t="str">
        <f>výpočty!$W$3</f>
        <v>Černá (E23)</v>
      </c>
      <c r="E322" t="s">
        <v>2131</v>
      </c>
      <c r="F322">
        <v>1</v>
      </c>
      <c r="G322" t="str">
        <f>Překlady!$A$147</f>
        <v>Systém vedení TOP BASIC není přizpůsoben pro kombinaci s vedením do šneku. Doporučujeme zvolit verzi vedení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vedení TOP BASIC není přizpůsoben pro kombinaci s vedením do šneku. Doporučujeme zvolit verzi vedení TOP.</v>
      </c>
      <c r="N322">
        <f t="shared" si="14"/>
        <v>1</v>
      </c>
    </row>
    <row r="323" spans="1:14" x14ac:dyDescent="0.2">
      <c r="A323" s="255" t="str">
        <f>výpočty!$R$15</f>
        <v>Horizontální (zleva doprava)</v>
      </c>
      <c r="B323" s="256" t="str">
        <f>výpočty!$R$10</f>
        <v>Do šneku</v>
      </c>
      <c r="C323" t="str">
        <f>výpočty!$R$3</f>
        <v>TOP Basic - vložený na šroubování plastový</v>
      </c>
      <c r="D323" s="36" t="str">
        <f>výpočty!$W$4</f>
        <v>Bílá (E23)</v>
      </c>
      <c r="E323" t="s">
        <v>2131</v>
      </c>
      <c r="F323">
        <v>1</v>
      </c>
      <c r="G323" t="str">
        <f>Překlady!$A$147</f>
        <v>Systém vedení TOP BASIC není přizpůsoben pro kombinaci s vedením do šneku. Doporučujeme zvolit verzi vedení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vedení TOP BASIC není přizpůsoben pro kombinaci s vedením do šneku. Doporučujeme zvolit verzi vedení TOP.</v>
      </c>
      <c r="N323">
        <f t="shared" ref="N323:N386" si="17">F:F</f>
        <v>1</v>
      </c>
    </row>
    <row r="324" spans="1:14" x14ac:dyDescent="0.2">
      <c r="A324" s="255" t="str">
        <f>výpočty!$R$15</f>
        <v>Horizontální (zleva doprava)</v>
      </c>
      <c r="B324" s="256" t="str">
        <f>výpočty!$R$10</f>
        <v>Do šneku</v>
      </c>
      <c r="C324" t="str">
        <f>výpočty!$R$3</f>
        <v>TOP Basic - vložený na šroubování plastový</v>
      </c>
      <c r="D324" s="36" t="str">
        <f>výpočty!$W$5</f>
        <v>Šedá (E23)</v>
      </c>
      <c r="E324" t="s">
        <v>2131</v>
      </c>
      <c r="F324">
        <v>1</v>
      </c>
      <c r="G324" t="str">
        <f>Překlady!$A$147</f>
        <v>Systém vedení TOP BASIC není přizpůsoben pro kombinaci s vedením do šneku. Doporučujeme zvolit verzi vedení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vedení TOP BASIC není přizpůsoben pro kombinaci s vedením do šneku. Doporučujeme zvolit verzi vedení TOP.</v>
      </c>
      <c r="N324">
        <f t="shared" si="17"/>
        <v>1</v>
      </c>
    </row>
    <row r="325" spans="1:14" x14ac:dyDescent="0.2">
      <c r="A325" s="255" t="str">
        <f>výpočty!$R$15</f>
        <v>Horizontální (zleva doprava)</v>
      </c>
      <c r="B325" s="256" t="str">
        <f>výpočty!$R$10</f>
        <v>Do šneku</v>
      </c>
      <c r="C325" t="str">
        <f>výpočty!$R$3</f>
        <v>TOP Basic - vložený na šroubování plastový</v>
      </c>
      <c r="D325" s="36" t="str">
        <f>výpočty!$W$6</f>
        <v>Hliník plast (E23)</v>
      </c>
      <c r="E325" t="s">
        <v>2131</v>
      </c>
      <c r="F325">
        <v>1</v>
      </c>
      <c r="G325" t="str">
        <f>Překlady!$A$147</f>
        <v>Systém vedení TOP BASIC není přizpůsoben pro kombinaci s vedením do šneku. Doporučujeme zvolit verzi vedení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vedení TOP BASIC není přizpůsoben pro kombinaci s vedením do šneku. Doporučujeme zvolit verzi vedení TOP.</v>
      </c>
      <c r="N325">
        <f t="shared" si="17"/>
        <v>1</v>
      </c>
    </row>
    <row r="326" spans="1:14" x14ac:dyDescent="0.2">
      <c r="A326" s="255" t="str">
        <f>výpočty!$R$15</f>
        <v>Horizontální (zleva doprava)</v>
      </c>
      <c r="B326" s="256" t="str">
        <f>výpočty!$R$10</f>
        <v>Do šneku</v>
      </c>
      <c r="C326" t="str">
        <f>výpočty!$R$3</f>
        <v>TOP Basic - vložený na šroubování plastový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Systém vedení TOP BASIC není přizpůsoben pro kombinaci s vedením do šneku. Doporučujeme zvolit verzi vedení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vedení TOP BASIC není přizpůsoben pro kombinaci s vedením do šneku. Doporučujeme zvolit verzi vedení TOP.</v>
      </c>
      <c r="N326">
        <f t="shared" si="17"/>
        <v>1</v>
      </c>
    </row>
    <row r="327" spans="1:14" x14ac:dyDescent="0.2">
      <c r="A327" s="255" t="str">
        <f>výpočty!$R$15</f>
        <v>Horizontální (zleva doprava)</v>
      </c>
      <c r="B327" s="256" t="str">
        <f>výpočty!$R$10</f>
        <v>Do šneku</v>
      </c>
      <c r="C327" t="str">
        <f>výpočty!$R$3</f>
        <v>TOP Basic - vložený na šroubování plastový</v>
      </c>
      <c r="D327" s="36" t="str">
        <f>výpočty!$W$8</f>
        <v>Třešeň (E23)</v>
      </c>
      <c r="E327" t="s">
        <v>2131</v>
      </c>
      <c r="F327">
        <v>1</v>
      </c>
      <c r="G327" t="str">
        <f>Překlady!$A$147</f>
        <v>Systém vedení TOP BASIC není přizpůsoben pro kombinaci s vedením do šneku. Doporučujeme zvolit verzi vedení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vedení TOP BASIC není přizpůsoben pro kombinaci s vedením do šneku. Doporučujeme zvolit verzi vedení TOP.</v>
      </c>
      <c r="N327">
        <f t="shared" si="17"/>
        <v>1</v>
      </c>
    </row>
    <row r="328" spans="1:14" x14ac:dyDescent="0.2">
      <c r="A328" s="255" t="str">
        <f>výpočty!$R$15</f>
        <v>Horizontální (zleva doprava)</v>
      </c>
      <c r="B328" s="256" t="str">
        <f>výpočty!$R$10</f>
        <v>Do šneku</v>
      </c>
      <c r="C328" t="str">
        <f>výpočty!$R$3</f>
        <v>TOP Basic - vložený na šroubování plastový</v>
      </c>
      <c r="D328" s="36" t="str">
        <f>výpočty!$W$9</f>
        <v>Javor (E23)</v>
      </c>
      <c r="E328" t="s">
        <v>2131</v>
      </c>
      <c r="F328">
        <v>1</v>
      </c>
      <c r="G328" t="str">
        <f>Překlady!$A$147</f>
        <v>Systém vedení TOP BASIC není přizpůsoben pro kombinaci s vedením do šneku. Doporučujeme zvolit verzi vedení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vedení TOP BASIC není přizpůsoben pro kombinaci s vedením do šneku. Doporučujeme zvolit verzi vedení TOP.</v>
      </c>
      <c r="N328">
        <f t="shared" si="17"/>
        <v>1</v>
      </c>
    </row>
    <row r="329" spans="1:14" x14ac:dyDescent="0.2">
      <c r="A329" s="255" t="str">
        <f>výpočty!$R$15</f>
        <v>Horizontální (zleva doprava)</v>
      </c>
      <c r="B329" s="256" t="str">
        <f>výpočty!$R$10</f>
        <v>Do šneku</v>
      </c>
      <c r="C329" t="str">
        <f>výpočty!$R$3</f>
        <v>TOP Basic - vložený na šroubování plastový</v>
      </c>
      <c r="D329" s="36" t="str">
        <f>výpočty!$W$10</f>
        <v>Bříza (E23)</v>
      </c>
      <c r="E329" t="s">
        <v>2131</v>
      </c>
      <c r="F329">
        <v>1</v>
      </c>
      <c r="G329" t="str">
        <f>Překlady!$A$147</f>
        <v>Systém vedení TOP BASIC není přizpůsoben pro kombinaci s vedením do šneku. Doporučujeme zvolit verzi vedení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vedení TOP BASIC není přizpůsoben pro kombinaci s vedením do šneku. Doporučujeme zvolit verzi vedení TOP.</v>
      </c>
      <c r="N329">
        <f t="shared" si="17"/>
        <v>1</v>
      </c>
    </row>
    <row r="330" spans="1:14" x14ac:dyDescent="0.2">
      <c r="A330" s="255" t="str">
        <f>výpočty!$R$15</f>
        <v>Horizontální (zleva doprava)</v>
      </c>
      <c r="B330" s="256" t="str">
        <f>výpočty!$R$10</f>
        <v>Do šneku</v>
      </c>
      <c r="C330" t="str">
        <f>výpočty!$R$3</f>
        <v>TOP Basic - vložený na šroubování plastový</v>
      </c>
      <c r="D330" s="36" t="str">
        <f>výpočty!$W$11</f>
        <v>Třešeň havana (E23)</v>
      </c>
      <c r="E330" t="s">
        <v>2131</v>
      </c>
      <c r="F330">
        <v>1</v>
      </c>
      <c r="G330" t="str">
        <f>Překlady!$A$147</f>
        <v>Systém vedení TOP BASIC není přizpůsoben pro kombinaci s vedením do šneku. Doporučujeme zvolit verzi vedení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vedení TOP BASIC není přizpůsoben pro kombinaci s vedením do šneku. Doporučujeme zvolit verzi vedení TOP.</v>
      </c>
      <c r="N330">
        <f t="shared" si="17"/>
        <v>1</v>
      </c>
    </row>
    <row r="331" spans="1:14" x14ac:dyDescent="0.2">
      <c r="A331" s="255" t="str">
        <f>výpočty!$R$15</f>
        <v>Horizontální (zleva doprava)</v>
      </c>
      <c r="B331" s="256" t="str">
        <f>výpočty!$R$10</f>
        <v>Do šneku</v>
      </c>
      <c r="C331" t="str">
        <f>výpočty!$R$3</f>
        <v>TOP Basic - vložený na šroubování plastový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Systém vedení TOP BASIC není přizpůsoben pro kombinaci s vedením do šneku. Doporučujeme zvolit verzi vedení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vedení TOP BASIC není přizpůsoben pro kombinaci s vedením do šneku. Doporučujeme zvolit verzi vedení TOP.</v>
      </c>
      <c r="N331">
        <f t="shared" si="17"/>
        <v>1</v>
      </c>
    </row>
    <row r="332" spans="1:14" x14ac:dyDescent="0.2">
      <c r="A332" s="255" t="str">
        <f>výpočty!$R$15</f>
        <v>Horizontální (zleva doprava)</v>
      </c>
      <c r="B332" s="256" t="str">
        <f>výpočty!$R$10</f>
        <v>Do šneku</v>
      </c>
      <c r="C332" t="str">
        <f>výpočty!$R$3</f>
        <v>TOP Basic - vložený na šroubování plastový</v>
      </c>
      <c r="D332" s="36" t="str">
        <f>výpočty!$W$14</f>
        <v>Zářivě bílá mat (E9)</v>
      </c>
      <c r="E332" t="s">
        <v>2131</v>
      </c>
      <c r="F332">
        <v>1</v>
      </c>
      <c r="G332" s="321" t="str">
        <f>Překlady!$A$142</f>
        <v>Barevné provedení Zářivě bílá v profilu E9 je možné kombinovat jen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Barevné provedení Zářivě bílá v profilu E9 je možné kombinovat jen s vedením Classic a TOP.</v>
      </c>
      <c r="N332">
        <f t="shared" si="17"/>
        <v>1</v>
      </c>
    </row>
    <row r="333" spans="1:14" x14ac:dyDescent="0.2">
      <c r="A333" s="255" t="str">
        <f>výpočty!$R$15</f>
        <v>Horizontální (zleva doprava)</v>
      </c>
      <c r="B333" s="256" t="str">
        <f>výpočty!$R$10</f>
        <v>Do šneku</v>
      </c>
      <c r="C333" t="str">
        <f>výpočty!$R$3</f>
        <v>TOP Basic - vložený na šroubování plastový</v>
      </c>
      <c r="D333" s="36" t="str">
        <f>výpočty!$W$15</f>
        <v>Hliník plast (E4)</v>
      </c>
      <c r="E333" t="s">
        <v>2131</v>
      </c>
      <c r="F333">
        <v>1</v>
      </c>
      <c r="G333" s="321" t="str">
        <f>Překlady!$A$143</f>
        <v>Barevné provedení Hliník plast v profilu E4 je vhodné na Horizontální vedení v kombinaci s vedením Classic s navíjením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Barevné provedení Hliník plast v profilu E4 je vhodné na Horizontální vedení v kombinaci s vedením Classic s navíjením dozadu.</v>
      </c>
      <c r="N333">
        <f t="shared" si="17"/>
        <v>1</v>
      </c>
    </row>
    <row r="334" spans="1:14" x14ac:dyDescent="0.2">
      <c r="A334" s="255" t="str">
        <f>výpočty!$R$15</f>
        <v>Horizontální (zleva doprava)</v>
      </c>
      <c r="B334" s="256" t="str">
        <f>výpočty!$R$10</f>
        <v>Do šneku</v>
      </c>
      <c r="C334" t="str">
        <f>výpočty!$R$3</f>
        <v>TOP Basic - vložený na šroubování plastový</v>
      </c>
      <c r="D334" s="36">
        <f>výpočty!$W$17</f>
        <v>0</v>
      </c>
      <c r="E334" t="s">
        <v>2131</v>
      </c>
      <c r="F334">
        <v>1</v>
      </c>
      <c r="G334" t="str">
        <f>Překlady!$A$147</f>
        <v>Systém vedení TOP BASIC není přizpůsoben pro kombinaci s vedením do šneku. Doporučujeme zvolit verzi vedení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vedení TOP BASIC není přizpůsoben pro kombinaci s vedením do šneku. Doporučujeme zvolit verzi vedení TOP.</v>
      </c>
      <c r="N334">
        <f t="shared" si="17"/>
        <v>1</v>
      </c>
    </row>
    <row r="335" spans="1:14" x14ac:dyDescent="0.2">
      <c r="A335" s="255" t="str">
        <f>výpočty!$R$15</f>
        <v>Horizontální (zleva doprava)</v>
      </c>
      <c r="B335" s="256" t="str">
        <f>výpočty!$R$10</f>
        <v>Do šneku</v>
      </c>
      <c r="C335" t="str">
        <f>výpočty!$R$3</f>
        <v>TOP Basic - vložený na šroubování plastový</v>
      </c>
      <c r="D335" s="36">
        <f>výpočty!$W$18</f>
        <v>0</v>
      </c>
      <c r="E335" t="s">
        <v>2131</v>
      </c>
      <c r="F335">
        <v>1</v>
      </c>
      <c r="G335" t="str">
        <f>Překlady!$A$147</f>
        <v>Systém vedení TOP BASIC není přizpůsoben pro kombinaci s vedením do šneku. Doporučujeme zvolit verzi vedení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vedení TOP BASIC není přizpůsoben pro kombinaci s vedením do šneku. Doporučujeme zvolit verzi vedení TOP.</v>
      </c>
      <c r="N335">
        <f t="shared" si="17"/>
        <v>1</v>
      </c>
    </row>
    <row r="336" spans="1:14" x14ac:dyDescent="0.2">
      <c r="A336" s="255" t="str">
        <f>výpočty!$R$15</f>
        <v>Horizontální (zleva doprava)</v>
      </c>
      <c r="B336" s="256" t="str">
        <f>výpočty!$R$10</f>
        <v>Do šneku</v>
      </c>
      <c r="C336" t="str">
        <f>výpočty!$R$3</f>
        <v>TOP Basic - vložený na šroubování plastový</v>
      </c>
      <c r="D336" s="36" t="str">
        <f>výpočty!$W$19</f>
        <v>Hliník šířka 25 mm (metallic-line)</v>
      </c>
      <c r="E336" t="s">
        <v>2131</v>
      </c>
      <c r="F336">
        <v>1</v>
      </c>
      <c r="G336" t="str">
        <f>Překlady!$A$147</f>
        <v>Systém vedení TOP BASIC není přizpůsoben pro kombinaci s vedením do šneku. Doporučujeme zvolit verzi vedení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vedení TOP BASIC není přizpůsoben pro kombinaci s vedením do šneku. Doporučujeme zvolit verzi vedení TOP.</v>
      </c>
      <c r="N336">
        <f t="shared" si="17"/>
        <v>1</v>
      </c>
    </row>
    <row r="337" spans="1:14" ht="13.5" thickBot="1" x14ac:dyDescent="0.25">
      <c r="A337" s="255" t="str">
        <f>výpočty!$R$15</f>
        <v>Horizontální (zleva doprava)</v>
      </c>
      <c r="B337" s="256" t="str">
        <f>výpočty!$R$10</f>
        <v>Do šneku</v>
      </c>
      <c r="C337" t="str">
        <f>výpočty!$R$3</f>
        <v>TOP Basic - vložený na šroubování plastový</v>
      </c>
      <c r="D337" s="27" t="str">
        <f>výpočty!$W$20</f>
        <v>Nerez šířka 25 mm (metallic-line)</v>
      </c>
      <c r="E337" t="s">
        <v>2131</v>
      </c>
      <c r="F337">
        <v>1</v>
      </c>
      <c r="G337" t="str">
        <f>Překlady!$A$147</f>
        <v>Systém vedení TOP BASIC není přizpůsoben pro kombinaci s vedením do šneku. Doporučujeme zvolit verzi vedení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vedení TOP BASIC není přizpůsoben pro kombinaci s vedením do šneku. Doporučujeme zvolit verzi vedení TOP.</v>
      </c>
      <c r="N337">
        <f t="shared" si="17"/>
        <v>1</v>
      </c>
    </row>
    <row r="338" spans="1:14" x14ac:dyDescent="0.2">
      <c r="A338" s="255" t="str">
        <f>výpočty!$R$15</f>
        <v>Horizontální (zleva doprava)</v>
      </c>
      <c r="B338" s="256" t="str">
        <f>výpočty!$R$10</f>
        <v>Do šneku</v>
      </c>
      <c r="C338" t="str">
        <f>výpočty!$R$4</f>
        <v>Classic - vložený na zafrézování</v>
      </c>
      <c r="D338" s="26" t="str">
        <f>výpočty!$W$3</f>
        <v>Černá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Horizontální (zleva doprava)</v>
      </c>
      <c r="B339" s="256" t="str">
        <f>výpočty!$R$10</f>
        <v>Do šneku</v>
      </c>
      <c r="C339" t="str">
        <f>výpočty!$R$4</f>
        <v>Classic - vložený na zafrézování</v>
      </c>
      <c r="D339" s="36" t="str">
        <f>výpočty!$W$4</f>
        <v>Bílá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Horizontální (zleva doprava)</v>
      </c>
      <c r="B340" s="256" t="str">
        <f>výpočty!$R$10</f>
        <v>Do šneku</v>
      </c>
      <c r="C340" t="str">
        <f>výpočty!$R$4</f>
        <v>Classic - vložený na zafrézování</v>
      </c>
      <c r="D340" s="36" t="str">
        <f>výpočty!$W$5</f>
        <v>Šedá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Horizontální (zleva doprava)</v>
      </c>
      <c r="B341" s="256" t="str">
        <f>výpočty!$R$10</f>
        <v>Do šneku</v>
      </c>
      <c r="C341" t="str">
        <f>výpočty!$R$4</f>
        <v>Classic - vložený na zafrézování</v>
      </c>
      <c r="D341" s="36" t="str">
        <f>výpočty!$W$6</f>
        <v>Hliník plast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Horizontální (zleva doprava)</v>
      </c>
      <c r="B342" s="256" t="str">
        <f>výpočty!$R$10</f>
        <v>Do šneku</v>
      </c>
      <c r="C342" t="str">
        <f>výpočty!$R$4</f>
        <v>Classic - vložený na zafrézování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Horizontální (zleva doprava)</v>
      </c>
      <c r="B343" s="256" t="str">
        <f>výpočty!$R$10</f>
        <v>Do šneku</v>
      </c>
      <c r="C343" t="str">
        <f>výpočty!$R$4</f>
        <v>Classic - vložený na zafrézování</v>
      </c>
      <c r="D343" s="36" t="str">
        <f>výpočty!$W$8</f>
        <v>Třešeň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Horizontální (zleva doprava)</v>
      </c>
      <c r="B344" s="256" t="str">
        <f>výpočty!$R$10</f>
        <v>Do šneku</v>
      </c>
      <c r="C344" t="str">
        <f>výpočty!$R$4</f>
        <v>Classic - vložený na zafrézování</v>
      </c>
      <c r="D344" s="36" t="str">
        <f>výpočty!$W$9</f>
        <v>Javor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Horizontální (zleva doprava)</v>
      </c>
      <c r="B345" s="256" t="str">
        <f>výpočty!$R$10</f>
        <v>Do šneku</v>
      </c>
      <c r="C345" t="str">
        <f>výpočty!$R$4</f>
        <v>Classic - vložený na zafrézování</v>
      </c>
      <c r="D345" s="36" t="str">
        <f>výpočty!$W$10</f>
        <v>Bříza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Horizontální (zleva doprava)</v>
      </c>
      <c r="B346" s="256" t="str">
        <f>výpočty!$R$10</f>
        <v>Do šneku</v>
      </c>
      <c r="C346" t="str">
        <f>výpočty!$R$4</f>
        <v>Classic - vložený na zafrézování</v>
      </c>
      <c r="D346" s="36" t="str">
        <f>výpočty!$W$11</f>
        <v>Třešeň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Horizontální (zleva doprava)</v>
      </c>
      <c r="B347" s="256" t="str">
        <f>výpočty!$R$10</f>
        <v>Do šneku</v>
      </c>
      <c r="C347" t="str">
        <f>výpočty!$R$4</f>
        <v>Classic - vložený na zafrézování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Horizontální (zleva doprava)</v>
      </c>
      <c r="B348" s="256" t="str">
        <f>výpočty!$R$10</f>
        <v>Do šneku</v>
      </c>
      <c r="C348" t="str">
        <f>výpočty!$R$4</f>
        <v>Classic - vložený na zafrézování</v>
      </c>
      <c r="D348" s="350" t="str">
        <f>výpočty!$W$14</f>
        <v>Zářivě bílá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Horizontální (zleva doprava)</v>
      </c>
      <c r="B349" s="256" t="str">
        <f>výpočty!$R$10</f>
        <v>Do šneku</v>
      </c>
      <c r="C349" t="str">
        <f>výpočty!$R$4</f>
        <v>Classic - vložený na zafrézování</v>
      </c>
      <c r="D349" s="36" t="str">
        <f>výpočty!$W$15</f>
        <v>Hliník plast (E4)</v>
      </c>
      <c r="E349" s="321" t="s">
        <v>2131</v>
      </c>
      <c r="F349" s="321">
        <v>1</v>
      </c>
      <c r="G349" s="321" t="str">
        <f>Překlady!$A$143</f>
        <v>Barevné provedení Hliník plast v profilu E4 je vhodné na Horizontální vedení v kombinaci s vedením Classic s navíjením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Barevné provedení Hliník plast v profilu E4 je vhodné na Horizontální vedení v kombinaci s vedením Classic s navíjením dozadu.</v>
      </c>
      <c r="N349">
        <f t="shared" si="17"/>
        <v>1</v>
      </c>
    </row>
    <row r="350" spans="1:14" x14ac:dyDescent="0.2">
      <c r="A350" s="255" t="str">
        <f>výpočty!$R$15</f>
        <v>Horizontální (zleva doprava)</v>
      </c>
      <c r="B350" s="256" t="str">
        <f>výpočty!$R$10</f>
        <v>Do šneku</v>
      </c>
      <c r="C350" t="str">
        <f>výpočty!$R$4</f>
        <v>Classic - vložený na zafrézování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Horizontální (zleva doprava)</v>
      </c>
      <c r="B351" s="256" t="str">
        <f>výpočty!$R$10</f>
        <v>Do šneku</v>
      </c>
      <c r="C351" t="str">
        <f>výpočty!$R$4</f>
        <v>Classic - vložený na zafrézování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Horizontální (zleva doprava)</v>
      </c>
      <c r="B352" s="256" t="str">
        <f>výpočty!$R$10</f>
        <v>Do šneku</v>
      </c>
      <c r="C352" t="str">
        <f>výpočty!$R$4</f>
        <v>Classic - vložený na zafrézování</v>
      </c>
      <c r="D352" s="36" t="str">
        <f>výpočty!$W$19</f>
        <v>Hliník šířka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Horizontální (zleva doprava)</v>
      </c>
      <c r="B353" s="256" t="str">
        <f>výpočty!$R$10</f>
        <v>Do šneku</v>
      </c>
      <c r="C353" t="str">
        <f>výpočty!$R$4</f>
        <v>Classic - vložený na zafrézování</v>
      </c>
      <c r="D353" s="27" t="str">
        <f>výpočty!$W$20</f>
        <v>Nerez šířka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Horizontální (zleva doprava)</v>
      </c>
      <c r="B354" s="256" t="str">
        <f>výpočty!$R$10</f>
        <v>Do šneku</v>
      </c>
      <c r="C354" t="str">
        <f>výpočty!$R$5</f>
        <v xml:space="preserve">Frame - naložený s krycí lištou </v>
      </c>
      <c r="D354" s="26" t="str">
        <f>výpočty!$W$3</f>
        <v>Černá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Horizontální (zleva doprava)</v>
      </c>
      <c r="B355" s="256" t="str">
        <f>výpočty!$R$10</f>
        <v>Do šneku</v>
      </c>
      <c r="C355" t="str">
        <f>výpočty!$R$5</f>
        <v xml:space="preserve">Frame - naložený s krycí lištou </v>
      </c>
      <c r="D355" s="36" t="str">
        <f>výpočty!$W$4</f>
        <v>Bílá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Horizontální (zleva doprava)</v>
      </c>
      <c r="B356" s="256" t="str">
        <f>výpočty!$R$10</f>
        <v>Do šneku</v>
      </c>
      <c r="C356" t="str">
        <f>výpočty!$R$5</f>
        <v xml:space="preserve">Frame - naložený s krycí lištou </v>
      </c>
      <c r="D356" s="36" t="str">
        <f>výpočty!$W$5</f>
        <v>Šedá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Horizontální (zleva doprava)</v>
      </c>
      <c r="B357" s="256" t="str">
        <f>výpočty!$R$10</f>
        <v>Do šneku</v>
      </c>
      <c r="C357" t="str">
        <f>výpočty!$R$5</f>
        <v xml:space="preserve">Frame - naložený s krycí lištou </v>
      </c>
      <c r="D357" s="36" t="str">
        <f>výpočty!$W$6</f>
        <v>Hliník plast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Horizontální (zleva doprava)</v>
      </c>
      <c r="B358" s="256" t="str">
        <f>výpočty!$R$10</f>
        <v>Do šneku</v>
      </c>
      <c r="C358" t="str">
        <f>výpočty!$R$5</f>
        <v xml:space="preserve">Frame - naložený s krycí lištou 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Barevné provedení BUK v profilu E23 již nelze kombinovat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Barevné provedení BUK v profilu E23 již nelze kombinovat s vedením FRAME.</v>
      </c>
      <c r="N358">
        <f t="shared" si="17"/>
        <v>1</v>
      </c>
    </row>
    <row r="359" spans="1:14" x14ac:dyDescent="0.2">
      <c r="A359" s="255" t="str">
        <f>výpočty!$R$15</f>
        <v>Horizontální (zleva doprava)</v>
      </c>
      <c r="B359" s="256" t="str">
        <f>výpočty!$R$10</f>
        <v>Do šneku</v>
      </c>
      <c r="C359" t="str">
        <f>výpočty!$R$5</f>
        <v xml:space="preserve">Frame - naložený s krycí lištou </v>
      </c>
      <c r="D359" s="36" t="str">
        <f>výpočty!$W$8</f>
        <v>Třešeň (E23)</v>
      </c>
      <c r="E359" t="s">
        <v>2130</v>
      </c>
      <c r="F359">
        <v>1</v>
      </c>
      <c r="G359" t="str">
        <f>Překlady!$A$176</f>
        <v>Barevné provedení Třešeň v profilu E23 již nelze kombinovat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Barevné provedení Třešeň v profilu E23 již nelze kombinovat s vedením FRAME.</v>
      </c>
      <c r="N359">
        <f t="shared" si="17"/>
        <v>1</v>
      </c>
    </row>
    <row r="360" spans="1:14" x14ac:dyDescent="0.2">
      <c r="A360" s="255" t="str">
        <f>výpočty!$R$15</f>
        <v>Horizontální (zleva doprava)</v>
      </c>
      <c r="B360" s="256" t="str">
        <f>výpočty!$R$10</f>
        <v>Do šneku</v>
      </c>
      <c r="C360" t="str">
        <f>výpočty!$R$5</f>
        <v xml:space="preserve">Frame - naložený s krycí lištou </v>
      </c>
      <c r="D360" s="36" t="str">
        <f>výpočty!$W$9</f>
        <v>Javor (E23)</v>
      </c>
      <c r="E360" t="s">
        <v>2130</v>
      </c>
      <c r="F360">
        <v>1</v>
      </c>
      <c r="G360" t="str">
        <f>Překlady!$A$177</f>
        <v>Barevné provedení Javor v profilu E23 již nelze kombinovat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Barevné provedení Javor v profilu E23 již nelze kombinovat s vedením FRAME.</v>
      </c>
      <c r="N360">
        <f t="shared" si="17"/>
        <v>1</v>
      </c>
    </row>
    <row r="361" spans="1:14" x14ac:dyDescent="0.2">
      <c r="A361" s="255" t="str">
        <f>výpočty!$R$15</f>
        <v>Horizontální (zleva doprava)</v>
      </c>
      <c r="B361" s="256" t="str">
        <f>výpočty!$R$10</f>
        <v>Do šneku</v>
      </c>
      <c r="C361" t="str">
        <f>výpočty!$R$5</f>
        <v xml:space="preserve">Frame - naložený s krycí lištou </v>
      </c>
      <c r="D361" s="36" t="str">
        <f>výpočty!$W$10</f>
        <v>Bříza (E23)</v>
      </c>
      <c r="E361" t="s">
        <v>2130</v>
      </c>
      <c r="F361">
        <v>1</v>
      </c>
      <c r="G361" t="str">
        <f>Překlady!$A$175</f>
        <v>Barevné provedení Bříza v profilu E23 již nelze kombinovat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Barevné provedení Bříza v profilu E23 již nelze kombinovat s vedením FRAME.</v>
      </c>
      <c r="N361">
        <f t="shared" si="17"/>
        <v>1</v>
      </c>
    </row>
    <row r="362" spans="1:14" x14ac:dyDescent="0.2">
      <c r="A362" s="255" t="str">
        <f>výpočty!$R$15</f>
        <v>Horizontální (zleva doprava)</v>
      </c>
      <c r="B362" s="256" t="str">
        <f>výpočty!$R$10</f>
        <v>Do šneku</v>
      </c>
      <c r="C362" t="str">
        <f>výpočty!$R$5</f>
        <v xml:space="preserve">Frame - naložený s krycí lištou </v>
      </c>
      <c r="D362" s="36" t="str">
        <f>výpočty!$W$11</f>
        <v>Třešeň havana (E23)</v>
      </c>
      <c r="E362" t="s">
        <v>2130</v>
      </c>
      <c r="F362">
        <v>1</v>
      </c>
      <c r="G362" t="str">
        <f>Překlady!$A$170</f>
        <v>Barevné provedení Třešeň havana v profilu E23 již nelze kombinovat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Barevné provedení Třešeň havana v profilu E23 již nelze kombinovat s vedením FRAME.</v>
      </c>
      <c r="N362">
        <f t="shared" si="17"/>
        <v>1</v>
      </c>
    </row>
    <row r="363" spans="1:14" x14ac:dyDescent="0.2">
      <c r="A363" s="255" t="str">
        <f>výpočty!$R$15</f>
        <v>Horizontální (zleva doprava)</v>
      </c>
      <c r="B363" s="256" t="str">
        <f>výpočty!$R$10</f>
        <v>Do šneku</v>
      </c>
      <c r="C363" t="str">
        <f>výpočty!$R$5</f>
        <v xml:space="preserve">Frame - naložený s krycí lištou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Horizontální (zleva doprava)</v>
      </c>
      <c r="B364" s="256" t="str">
        <f>výpočty!$R$10</f>
        <v>Do šneku</v>
      </c>
      <c r="C364" t="str">
        <f>výpočty!$R$5</f>
        <v xml:space="preserve">Frame - naložený s krycí lištou </v>
      </c>
      <c r="D364" s="36" t="str">
        <f>výpočty!$W$14</f>
        <v>Zářivě bílá mat (E9)</v>
      </c>
      <c r="E364" s="321" t="s">
        <v>2131</v>
      </c>
      <c r="F364" s="321">
        <v>1</v>
      </c>
      <c r="G364" s="321" t="str">
        <f>Překlady!$A$142</f>
        <v>Barevné provedení Zářivě bílá v profilu E9 je možné kombinovat jen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Barevné provedení Zářivě bílá v profilu E9 je možné kombinovat jen s vedením Classic a TOP.</v>
      </c>
      <c r="N364">
        <f t="shared" si="17"/>
        <v>1</v>
      </c>
    </row>
    <row r="365" spans="1:14" x14ac:dyDescent="0.2">
      <c r="A365" s="255" t="str">
        <f>výpočty!$R$15</f>
        <v>Horizontální (zleva doprava)</v>
      </c>
      <c r="B365" s="256" t="str">
        <f>výpočty!$R$10</f>
        <v>Do šneku</v>
      </c>
      <c r="C365" t="str">
        <f>výpočty!$R$5</f>
        <v xml:space="preserve">Frame - naložený s krycí lištou </v>
      </c>
      <c r="D365" s="36" t="str">
        <f>výpočty!$W$15</f>
        <v>Hliník plast (E4)</v>
      </c>
      <c r="E365" t="s">
        <v>2131</v>
      </c>
      <c r="F365">
        <v>1</v>
      </c>
      <c r="G365" s="321" t="str">
        <f>Překlady!$A$143</f>
        <v>Barevné provedení Hliník plast v profilu E4 je vhodné na Horizontální vedení v kombinaci s vedením Classic s navíjením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Barevné provedení Hliník plast v profilu E4 je vhodné na Horizontální vedení v kombinaci s vedením Classic s navíjením dozadu.</v>
      </c>
      <c r="N365">
        <f t="shared" si="17"/>
        <v>1</v>
      </c>
    </row>
    <row r="366" spans="1:14" x14ac:dyDescent="0.2">
      <c r="A366" s="255" t="str">
        <f>výpočty!$R$15</f>
        <v>Horizontální (zleva doprava)</v>
      </c>
      <c r="B366" s="256" t="str">
        <f>výpočty!$R$10</f>
        <v>Do šneku</v>
      </c>
      <c r="C366" t="str">
        <f>výpočty!$R$5</f>
        <v xml:space="preserve">Frame - naložený s krycí lištou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Horizontální (zleva doprava)</v>
      </c>
      <c r="B367" s="256" t="str">
        <f>výpočty!$R$10</f>
        <v>Do šneku</v>
      </c>
      <c r="C367" t="str">
        <f>výpočty!$R$5</f>
        <v xml:space="preserve">Frame - naložený s krycí lištou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Horizontální (zleva doprava)</v>
      </c>
      <c r="B368" s="256" t="str">
        <f>výpočty!$R$10</f>
        <v>Do šneku</v>
      </c>
      <c r="C368" t="str">
        <f>výpočty!$R$5</f>
        <v xml:space="preserve">Frame - naložený s krycí lištou </v>
      </c>
      <c r="D368" s="36" t="str">
        <f>výpočty!$W$19</f>
        <v>Hliník šířka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Horizontální (zleva doprava)</v>
      </c>
      <c r="B369" s="256" t="str">
        <f>výpočty!$R$10</f>
        <v>Do šneku</v>
      </c>
      <c r="C369" t="str">
        <f>výpočty!$R$5</f>
        <v xml:space="preserve">Frame - naložený s krycí lištou </v>
      </c>
      <c r="D369" s="27" t="str">
        <f>výpočty!$W$20</f>
        <v>Nerez šířka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Horizontální (zleva doprava)</v>
      </c>
      <c r="B370" s="256" t="str">
        <f>výpočty!$R$10</f>
        <v>Do šneku</v>
      </c>
      <c r="C370" t="str">
        <f>výpočty!$R$6</f>
        <v>TOP - vložený na šroubování kovový s krycí lištou</v>
      </c>
      <c r="D370" s="26" t="str">
        <f>výpočty!$W$3</f>
        <v>Černá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Horizontální (zleva doprava)</v>
      </c>
      <c r="B371" s="256" t="str">
        <f>výpočty!$R$10</f>
        <v>Do šneku</v>
      </c>
      <c r="C371" t="str">
        <f>výpočty!$R$6</f>
        <v>TOP - vložený na šroubování kovový s krycí lištou</v>
      </c>
      <c r="D371" s="36" t="str">
        <f>výpočty!$W$4</f>
        <v>Bílá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Horizontální (zleva doprava)</v>
      </c>
      <c r="B372" s="256" t="str">
        <f>výpočty!$R$10</f>
        <v>Do šneku</v>
      </c>
      <c r="C372" t="str">
        <f>výpočty!$R$6</f>
        <v>TOP - vložený na šroubování kovový s krycí lištou</v>
      </c>
      <c r="D372" s="36" t="str">
        <f>výpočty!$W$5</f>
        <v>Šedá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Horizontální (zleva doprava)</v>
      </c>
      <c r="B373" s="256" t="str">
        <f>výpočty!$R$10</f>
        <v>Do šneku</v>
      </c>
      <c r="C373" t="str">
        <f>výpočty!$R$6</f>
        <v>TOP - vložený na šroubování kovový s krycí lištou</v>
      </c>
      <c r="D373" s="36" t="str">
        <f>výpočty!$W$6</f>
        <v>Hliník plast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Horizontální (zleva doprava)</v>
      </c>
      <c r="B374" s="256" t="str">
        <f>výpočty!$R$10</f>
        <v>Do šneku</v>
      </c>
      <c r="C374" t="str">
        <f>výpočty!$R$6</f>
        <v>TOP - vložený na šroubování kovový s krycí lištou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Horizontální (zleva doprava)</v>
      </c>
      <c r="B375" s="256" t="str">
        <f>výpočty!$R$10</f>
        <v>Do šneku</v>
      </c>
      <c r="C375" t="str">
        <f>výpočty!$R$6</f>
        <v>TOP - vložený na šroubování kovový s krycí lištou</v>
      </c>
      <c r="D375" s="36" t="str">
        <f>výpočty!$W$8</f>
        <v>Třešeň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Horizontální (zleva doprava)</v>
      </c>
      <c r="B376" s="256" t="str">
        <f>výpočty!$R$10</f>
        <v>Do šneku</v>
      </c>
      <c r="C376" t="str">
        <f>výpočty!$R$6</f>
        <v>TOP - vložený na šroubování kovový s krycí lištou</v>
      </c>
      <c r="D376" s="36" t="str">
        <f>výpočty!$W$9</f>
        <v>Javor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Horizontální (zleva doprava)</v>
      </c>
      <c r="B377" s="256" t="str">
        <f>výpočty!$R$10</f>
        <v>Do šneku</v>
      </c>
      <c r="C377" t="str">
        <f>výpočty!$R$6</f>
        <v>TOP - vložený na šroubování kovový s krycí lištou</v>
      </c>
      <c r="D377" s="36" t="str">
        <f>výpočty!$W$10</f>
        <v>Bříza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Horizontální (zleva doprava)</v>
      </c>
      <c r="B378" s="256" t="str">
        <f>výpočty!$R$10</f>
        <v>Do šneku</v>
      </c>
      <c r="C378" t="str">
        <f>výpočty!$R$6</f>
        <v>TOP - vložený na šroubování kovový s krycí lištou</v>
      </c>
      <c r="D378" s="36" t="str">
        <f>výpočty!$W$11</f>
        <v>Třešeň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Horizontální (zleva doprava)</v>
      </c>
      <c r="B379" s="256" t="str">
        <f>výpočty!$R$10</f>
        <v>Do šneku</v>
      </c>
      <c r="C379" t="str">
        <f>výpočty!$R$6</f>
        <v>TOP - vložený na šroubování kovový s krycí lištou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Horizontální (zleva doprava)</v>
      </c>
      <c r="B380" s="256" t="str">
        <f>výpočty!$R$10</f>
        <v>Do šneku</v>
      </c>
      <c r="C380" t="str">
        <f>výpočty!$R$6</f>
        <v>TOP - vložený na šroubování kovový s krycí lištou</v>
      </c>
      <c r="D380" s="350" t="str">
        <f>výpočty!$W$14</f>
        <v>Zářivě bílá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Horizontální (zleva doprava)</v>
      </c>
      <c r="B381" s="256" t="str">
        <f>výpočty!$R$10</f>
        <v>Do šneku</v>
      </c>
      <c r="C381" t="str">
        <f>výpočty!$R$6</f>
        <v>TOP - vložený na šroubování kovový s krycí lištou</v>
      </c>
      <c r="D381" s="36" t="str">
        <f>výpočty!$W$15</f>
        <v>Hliník plast (E4)</v>
      </c>
      <c r="E381" t="s">
        <v>2131</v>
      </c>
      <c r="F381">
        <v>1</v>
      </c>
      <c r="G381" s="321" t="str">
        <f>Překlady!$A$143</f>
        <v>Barevné provedení Hliník plast v profilu E4 je vhodné na Horizontální vedení v kombinaci s vedením Classic s navíjením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Barevné provedení Hliník plast v profilu E4 je vhodné na Horizontální vedení v kombinaci s vedením Classic s navíjením dozadu.</v>
      </c>
      <c r="N381">
        <f t="shared" si="17"/>
        <v>1</v>
      </c>
    </row>
    <row r="382" spans="1:14" x14ac:dyDescent="0.2">
      <c r="A382" s="255" t="str">
        <f>výpočty!$R$15</f>
        <v>Horizontální (zleva doprava)</v>
      </c>
      <c r="B382" s="256" t="str">
        <f>výpočty!$R$10</f>
        <v>Do šneku</v>
      </c>
      <c r="C382" t="str">
        <f>výpočty!$R$6</f>
        <v>TOP - vložený na šroubování kovový s krycí lištou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Horizontální (zleva doprava)</v>
      </c>
      <c r="B383" s="256" t="str">
        <f>výpočty!$R$10</f>
        <v>Do šneku</v>
      </c>
      <c r="C383" t="str">
        <f>výpočty!$R$6</f>
        <v>TOP - vložený na šroubování kovový s krycí lištou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Horizontální (zleva doprava)</v>
      </c>
      <c r="B384" s="256" t="str">
        <f>výpočty!$R$10</f>
        <v>Do šneku</v>
      </c>
      <c r="C384" t="str">
        <f>výpočty!$R$6</f>
        <v>TOP - vložený na šroubování kovový s krycí lištou</v>
      </c>
      <c r="D384" s="36" t="str">
        <f>výpočty!$W$19</f>
        <v>Hliník šířka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Horizontální (zleva doprava)</v>
      </c>
      <c r="B385" s="256" t="str">
        <f>výpočty!$R$10</f>
        <v>Do šneku</v>
      </c>
      <c r="C385" t="str">
        <f>výpočty!$R$6</f>
        <v>TOP - vložený na šroubování kovový s krycí lištou</v>
      </c>
      <c r="D385" s="27" t="str">
        <f>výpočty!$W$20</f>
        <v>Nerez šířka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Horizontální (zleva doprava)</v>
      </c>
      <c r="B386" s="256" t="str">
        <f>výpočty!$R$10</f>
        <v>Do šneku</v>
      </c>
      <c r="C386" t="str">
        <f>výpočty!$R$7</f>
        <v xml:space="preserve">Naložený s metallic-line vedením 29mm a mech. C3 </v>
      </c>
      <c r="D386" s="26" t="str">
        <f>výpočty!$W$3</f>
        <v>Černá (E23)</v>
      </c>
      <c r="E386" t="s">
        <v>2131</v>
      </c>
      <c r="F386">
        <v>1</v>
      </c>
      <c r="G386" s="321" t="str">
        <f>Překlady!$A$153</f>
        <v>U vedení dozadu a do šneku nelze použít vedení Naložený systém vedení 29mm a mech C3. Nutno zvolit verzi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vedení dozadu a do šneku nelze použít vedení Naložený systém vedení 29mm a mech C3. Nutno zvolit verzi FRAME.</v>
      </c>
      <c r="N386">
        <f t="shared" si="17"/>
        <v>1</v>
      </c>
    </row>
    <row r="387" spans="1:14" x14ac:dyDescent="0.2">
      <c r="A387" s="255" t="str">
        <f>výpočty!$R$15</f>
        <v>Horizontální (zleva doprava)</v>
      </c>
      <c r="B387" s="256" t="str">
        <f>výpočty!$R$10</f>
        <v>Do šneku</v>
      </c>
      <c r="C387" t="str">
        <f>výpočty!$R$7</f>
        <v xml:space="preserve">Naložený s metallic-line vedením 29mm a mech. C3 </v>
      </c>
      <c r="D387" s="36" t="str">
        <f>výpočty!$W$4</f>
        <v>Bílá (E23)</v>
      </c>
      <c r="E387" t="s">
        <v>2131</v>
      </c>
      <c r="F387">
        <v>1</v>
      </c>
      <c r="G387" s="321" t="str">
        <f>Překlady!$A$153</f>
        <v>U vedení dozadu a do šneku nelze použít vedení Naložený systém vedení 29mm a mech C3. Nutno zvolit verzi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vedení dozadu a do šneku nelze použít vedení Naložený systém vedení 29mm a mech C3. Nutno zvolit verzi FRAME.</v>
      </c>
      <c r="N387">
        <f t="shared" ref="N387:N450" si="20">F:F</f>
        <v>1</v>
      </c>
    </row>
    <row r="388" spans="1:14" x14ac:dyDescent="0.2">
      <c r="A388" s="255" t="str">
        <f>výpočty!$R$15</f>
        <v>Horizontální (zleva doprava)</v>
      </c>
      <c r="B388" s="256" t="str">
        <f>výpočty!$R$10</f>
        <v>Do šneku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2131</v>
      </c>
      <c r="F388">
        <v>1</v>
      </c>
      <c r="G388" s="321" t="str">
        <f>Překlady!$A$153</f>
        <v>U vedení dozadu a do šneku nelze použít vedení Naložený systém vedení 29mm a mech C3. Nutno zvolit verzi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vedení dozadu a do šneku nelze použít vedení Naložený systém vedení 29mm a mech C3. Nutno zvolit verzi FRAME.</v>
      </c>
      <c r="N388">
        <f t="shared" si="20"/>
        <v>1</v>
      </c>
    </row>
    <row r="389" spans="1:14" x14ac:dyDescent="0.2">
      <c r="A389" s="255" t="str">
        <f>výpočty!$R$15</f>
        <v>Horizontální (zleva doprava)</v>
      </c>
      <c r="B389" s="256" t="str">
        <f>výpočty!$R$10</f>
        <v>Do šneku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2131</v>
      </c>
      <c r="F389">
        <v>1</v>
      </c>
      <c r="G389" s="321" t="str">
        <f>Překlady!$A$153</f>
        <v>U vedení dozadu a do šneku nelze použít vedení Naložený systém vedení 29mm a mech C3. Nutno zvolit verzi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vedení dozadu a do šneku nelze použít vedení Naložený systém vedení 29mm a mech C3. Nutno zvolit verzi FRAME.</v>
      </c>
      <c r="N389">
        <f t="shared" si="20"/>
        <v>1</v>
      </c>
    </row>
    <row r="390" spans="1:14" x14ac:dyDescent="0.2">
      <c r="A390" s="255" t="str">
        <f>výpočty!$R$15</f>
        <v>Horizontální (zleva doprava)</v>
      </c>
      <c r="B390" s="256" t="str">
        <f>výpočty!$R$10</f>
        <v>Do šneku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U vedení dozadu a do šneku nelze použít vedení Naložený systém vedení 29mm a mech C3. Nutno zvolit verzi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vedení dozadu a do šneku nelze použít vedení Naložený systém vedení 29mm a mech C3. Nutno zvolit verzi FRAME.</v>
      </c>
      <c r="N390">
        <f t="shared" si="20"/>
        <v>1</v>
      </c>
    </row>
    <row r="391" spans="1:14" x14ac:dyDescent="0.2">
      <c r="A391" s="255" t="str">
        <f>výpočty!$R$15</f>
        <v>Horizontální (zleva doprava)</v>
      </c>
      <c r="B391" s="256" t="str">
        <f>výpočty!$R$10</f>
        <v>Do šneku</v>
      </c>
      <c r="C391" t="str">
        <f>výpočty!$R$7</f>
        <v xml:space="preserve">Naložený s metallic-line vedením 29mm a mech. C3 </v>
      </c>
      <c r="D391" s="36" t="str">
        <f>výpočty!$W$8</f>
        <v>Třešeň (E23)</v>
      </c>
      <c r="E391" t="s">
        <v>2131</v>
      </c>
      <c r="F391">
        <v>1</v>
      </c>
      <c r="G391" s="321" t="str">
        <f>Překlady!$A$153</f>
        <v>U vedení dozadu a do šneku nelze použít vedení Naložený systém vedení 29mm a mech C3. Nutno zvolit verzi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vedení dozadu a do šneku nelze použít vedení Naložený systém vedení 29mm a mech C3. Nutno zvolit verzi FRAME.</v>
      </c>
      <c r="N391">
        <f t="shared" si="20"/>
        <v>1</v>
      </c>
    </row>
    <row r="392" spans="1:14" x14ac:dyDescent="0.2">
      <c r="A392" s="255" t="str">
        <f>výpočty!$R$15</f>
        <v>Horizontální (zleva doprava)</v>
      </c>
      <c r="B392" s="256" t="str">
        <f>výpočty!$R$10</f>
        <v>Do šneku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2131</v>
      </c>
      <c r="F392">
        <v>1</v>
      </c>
      <c r="G392" s="321" t="str">
        <f>Překlady!$A$153</f>
        <v>U vedení dozadu a do šneku nelze použít vedení Naložený systém vedení 29mm a mech C3. Nutno zvolit verzi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vedení dozadu a do šneku nelze použít vedení Naložený systém vedení 29mm a mech C3. Nutno zvolit verzi FRAME.</v>
      </c>
      <c r="N392">
        <f t="shared" si="20"/>
        <v>1</v>
      </c>
    </row>
    <row r="393" spans="1:14" x14ac:dyDescent="0.2">
      <c r="A393" s="255" t="str">
        <f>výpočty!$R$15</f>
        <v>Horizontální (zleva doprava)</v>
      </c>
      <c r="B393" s="256" t="str">
        <f>výpočty!$R$10</f>
        <v>Do šneku</v>
      </c>
      <c r="C393" t="str">
        <f>výpočty!$R$7</f>
        <v xml:space="preserve">Naložený s metallic-line vedením 29mm a mech. C3 </v>
      </c>
      <c r="D393" s="36" t="str">
        <f>výpočty!$W$10</f>
        <v>Bříza (E23)</v>
      </c>
      <c r="E393" t="s">
        <v>2131</v>
      </c>
      <c r="F393">
        <v>1</v>
      </c>
      <c r="G393" s="321" t="str">
        <f>Překlady!$A$153</f>
        <v>U vedení dozadu a do šneku nelze použít vedení Naložený systém vedení 29mm a mech C3. Nutno zvolit verzi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vedení dozadu a do šneku nelze použít vedení Naložený systém vedení 29mm a mech C3. Nutno zvolit verzi FRAME.</v>
      </c>
      <c r="N393">
        <f t="shared" si="20"/>
        <v>1</v>
      </c>
    </row>
    <row r="394" spans="1:14" x14ac:dyDescent="0.2">
      <c r="A394" s="255" t="str">
        <f>výpočty!$R$15</f>
        <v>Horizontální (zleva doprava)</v>
      </c>
      <c r="B394" s="256" t="str">
        <f>výpočty!$R$10</f>
        <v>Do šneku</v>
      </c>
      <c r="C394" t="str">
        <f>výpočty!$R$7</f>
        <v xml:space="preserve">Naložený s metallic-line vedením 29mm a mech. C3 </v>
      </c>
      <c r="D394" s="36" t="str">
        <f>výpočty!$W$11</f>
        <v>Třešeň havana (E23)</v>
      </c>
      <c r="E394" t="s">
        <v>2131</v>
      </c>
      <c r="F394">
        <v>1</v>
      </c>
      <c r="G394" s="321" t="str">
        <f>Překlady!$A$153</f>
        <v>U vedení dozadu a do šneku nelze použít vedení Naložený systém vedení 29mm a mech C3. Nutno zvolit verzi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vedení dozadu a do šneku nelze použít vedení Naložený systém vedení 29mm a mech C3. Nutno zvolit verzi FRAME.</v>
      </c>
      <c r="N394">
        <f t="shared" si="20"/>
        <v>1</v>
      </c>
    </row>
    <row r="395" spans="1:14" x14ac:dyDescent="0.2">
      <c r="A395" s="255" t="str">
        <f>výpočty!$R$15</f>
        <v>Horizontální (zleva doprava)</v>
      </c>
      <c r="B395" s="256" t="str">
        <f>výpočty!$R$10</f>
        <v>Do šneku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U vedení dozadu a do šneku nelze použít vedení Naložený systém vedení 29mm a mech C3. Nutno zvolit verzi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vedení dozadu a do šneku nelze použít vedení Naložený systém vedení 29mm a mech C3. Nutno zvolit verzi FRAME.</v>
      </c>
      <c r="N395">
        <f t="shared" si="20"/>
        <v>1</v>
      </c>
    </row>
    <row r="396" spans="1:14" x14ac:dyDescent="0.2">
      <c r="A396" s="255" t="str">
        <f>výpočty!$R$15</f>
        <v>Horizontální (zleva doprava)</v>
      </c>
      <c r="B396" s="256" t="str">
        <f>výpočty!$R$10</f>
        <v>Do šneku</v>
      </c>
      <c r="C396" t="str">
        <f>výpočty!$R$7</f>
        <v xml:space="preserve">Naložený s metallic-line vedením 29mm a mech. C3 </v>
      </c>
      <c r="D396" s="36" t="str">
        <f>výpočty!$W$14</f>
        <v>Zářivě bílá mat (E9)</v>
      </c>
      <c r="E396" t="s">
        <v>2131</v>
      </c>
      <c r="F396">
        <v>1</v>
      </c>
      <c r="G396" s="321" t="str">
        <f>Překlady!$A$142</f>
        <v>Barevné provedení Zářivě bílá v profilu E9 je možné kombinovat jen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Barevné provedení Zářivě bílá v profilu E9 je možné kombinovat jen s vedením Classic a TOP.</v>
      </c>
      <c r="N396">
        <f t="shared" si="20"/>
        <v>1</v>
      </c>
    </row>
    <row r="397" spans="1:14" x14ac:dyDescent="0.2">
      <c r="A397" s="255" t="str">
        <f>výpočty!$R$15</f>
        <v>Horizontální (zleva doprava)</v>
      </c>
      <c r="B397" s="256" t="str">
        <f>výpočty!$R$10</f>
        <v>Do šneku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2131</v>
      </c>
      <c r="F397">
        <v>1</v>
      </c>
      <c r="G397" s="321" t="str">
        <f>Překlady!$A$143</f>
        <v>Barevné provedení Hliník plast v profilu E4 je vhodné na Horizontální vedení v kombinaci s vedením Classic s navíjením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Barevné provedení Hliník plast v profilu E4 je vhodné na Horizontální vedení v kombinaci s vedením Classic s navíjením dozadu.</v>
      </c>
      <c r="N397">
        <f t="shared" si="20"/>
        <v>1</v>
      </c>
    </row>
    <row r="398" spans="1:14" x14ac:dyDescent="0.2">
      <c r="A398" s="255" t="str">
        <f>výpočty!$R$15</f>
        <v>Horizontální (zleva doprava)</v>
      </c>
      <c r="B398" s="256" t="str">
        <f>výpočty!$R$10</f>
        <v>Do šneku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U vedení dozadu a do šneku nelze použít vedení Naložený systém vedení 29mm a mech C3. Nutno zvolit verzi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vedení dozadu a do šneku nelze použít vedení Naložený systém vedení 29mm a mech C3. Nutno zvolit verzi FRAME.</v>
      </c>
      <c r="N398">
        <f t="shared" si="20"/>
        <v>1</v>
      </c>
    </row>
    <row r="399" spans="1:14" x14ac:dyDescent="0.2">
      <c r="A399" s="255" t="str">
        <f>výpočty!$R$15</f>
        <v>Horizontální (zleva doprava)</v>
      </c>
      <c r="B399" s="256" t="str">
        <f>výpočty!$R$10</f>
        <v>Do šneku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U vedení dozadu a do šneku nelze použít vedení Naložený systém vedení 29mm a mech C3. Nutno zvolit verzi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vedení dozadu a do šneku nelze použít vedení Naložený systém vedení 29mm a mech C3. Nutno zvolit verzi FRAME.</v>
      </c>
      <c r="N399">
        <f t="shared" si="20"/>
        <v>1</v>
      </c>
    </row>
    <row r="400" spans="1:14" x14ac:dyDescent="0.2">
      <c r="A400" s="255" t="str">
        <f>výpočty!$R$15</f>
        <v>Horizontální (zleva doprava)</v>
      </c>
      <c r="B400" s="256" t="str">
        <f>výpočty!$R$10</f>
        <v>Do šneku</v>
      </c>
      <c r="C400" t="str">
        <f>výpočty!$R$7</f>
        <v xml:space="preserve">Naložený s metallic-line vedením 29mm a mech. C3 </v>
      </c>
      <c r="D400" s="36" t="str">
        <f>výpočty!$W$19</f>
        <v>Hliník šířka 25 mm (metallic-line)</v>
      </c>
      <c r="E400" t="s">
        <v>2131</v>
      </c>
      <c r="F400">
        <v>1</v>
      </c>
      <c r="G400" s="321" t="str">
        <f>Překlady!$A$153</f>
        <v>U vedení dozadu a do šneku nelze použít vedení Naložený systém vedení 29mm a mech C3. Nutno zvolit verzi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vedení dozadu a do šneku nelze použít vedení Naložený systém vedení 29mm a mech C3. Nutno zvolit verzi FRAME.</v>
      </c>
      <c r="N400">
        <f t="shared" si="20"/>
        <v>1</v>
      </c>
    </row>
    <row r="401" spans="1:14" ht="13.5" thickBot="1" x14ac:dyDescent="0.25">
      <c r="A401" s="255" t="str">
        <f>výpočty!$R$15</f>
        <v>Horizontální (zleva doprava)</v>
      </c>
      <c r="B401" s="256" t="str">
        <f>výpočty!$R$10</f>
        <v>Do šneku</v>
      </c>
      <c r="C401" t="str">
        <f>výpočty!$R$7</f>
        <v xml:space="preserve">Naložený s metallic-line vedením 29mm a mech. C3 </v>
      </c>
      <c r="D401" s="27" t="str">
        <f>výpočty!$W$20</f>
        <v>Nerez šířka 25 mm (metallic-line)</v>
      </c>
      <c r="E401" t="s">
        <v>2131</v>
      </c>
      <c r="F401">
        <v>1</v>
      </c>
      <c r="G401" s="321" t="str">
        <f>Překlady!$A$153</f>
        <v>U vedení dozadu a do šneku nelze použít vedení Naložený systém vedení 29mm a mech C3. Nutno zvolit verzi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vedení dozadu a do šneku nelze použít vedení Naložený systém vedení 29mm a mech C3. Nutno zvolit verzi FRAME.</v>
      </c>
      <c r="N401">
        <f t="shared" si="20"/>
        <v>1</v>
      </c>
    </row>
    <row r="402" spans="1:14" x14ac:dyDescent="0.2">
      <c r="A402" s="255" t="str">
        <f>výpočty!$R$15</f>
        <v>Horizontální (zleva doprava)</v>
      </c>
      <c r="B402" t="str">
        <f>výpočty!$R$11</f>
        <v>S mechanikou C3</v>
      </c>
      <c r="C402" t="str">
        <f>výpočty!$R$3</f>
        <v>TOP Basic - vložený na šroubování plastový</v>
      </c>
      <c r="D402" s="26" t="str">
        <f>výpočty!$W$3</f>
        <v>Černá (E23)</v>
      </c>
      <c r="E402" t="s">
        <v>2131</v>
      </c>
      <c r="F402">
        <v>1</v>
      </c>
      <c r="G402" t="str">
        <f>Překlady!$A$154</f>
        <v>U Horizontálního vedení není možné použít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Horizontálního vedení není možné použít mechaniku C3.</v>
      </c>
      <c r="N402">
        <f t="shared" si="20"/>
        <v>1</v>
      </c>
    </row>
    <row r="403" spans="1:14" x14ac:dyDescent="0.2">
      <c r="A403" s="255" t="str">
        <f>výpočty!$R$15</f>
        <v>Horizontální (zleva doprava)</v>
      </c>
      <c r="B403" t="str">
        <f>výpočty!$R$11</f>
        <v>S mechanikou C3</v>
      </c>
      <c r="C403" t="str">
        <f>výpočty!$R$3</f>
        <v>TOP Basic - vložený na šroubování plastový</v>
      </c>
      <c r="D403" s="36" t="str">
        <f>výpočty!$W$4</f>
        <v>Bílá (E23)</v>
      </c>
      <c r="E403" t="s">
        <v>2131</v>
      </c>
      <c r="F403">
        <v>1</v>
      </c>
      <c r="G403" t="str">
        <f>Překlady!$A$154</f>
        <v>U Horizontálního vedení není možné použít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Horizontálního vedení není možné použít mechaniku C3.</v>
      </c>
      <c r="N403">
        <f t="shared" si="20"/>
        <v>1</v>
      </c>
    </row>
    <row r="404" spans="1:14" x14ac:dyDescent="0.2">
      <c r="A404" s="255" t="str">
        <f>výpočty!$R$15</f>
        <v>Horizontální (zleva doprava)</v>
      </c>
      <c r="B404" t="str">
        <f>výpočty!$R$11</f>
        <v>S mechanikou C3</v>
      </c>
      <c r="C404" t="str">
        <f>výpočty!$R$3</f>
        <v>TOP Basic - vložený na šroubování plastový</v>
      </c>
      <c r="D404" s="36" t="str">
        <f>výpočty!$W$5</f>
        <v>Šedá (E23)</v>
      </c>
      <c r="E404" t="s">
        <v>2131</v>
      </c>
      <c r="F404">
        <v>1</v>
      </c>
      <c r="G404" t="str">
        <f>Překlady!$A$154</f>
        <v>U Horizontálního vedení není možné použít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Horizontálního vedení není možné použít mechaniku C3.</v>
      </c>
      <c r="N404">
        <f t="shared" si="20"/>
        <v>1</v>
      </c>
    </row>
    <row r="405" spans="1:14" x14ac:dyDescent="0.2">
      <c r="A405" s="255" t="str">
        <f>výpočty!$R$15</f>
        <v>Horizontální (zleva doprava)</v>
      </c>
      <c r="B405" t="str">
        <f>výpočty!$R$11</f>
        <v>S mechanikou C3</v>
      </c>
      <c r="C405" t="str">
        <f>výpočty!$R$3</f>
        <v>TOP Basic - vložený na šroubování plastový</v>
      </c>
      <c r="D405" s="36" t="str">
        <f>výpočty!$W$6</f>
        <v>Hliník plast (E23)</v>
      </c>
      <c r="E405" t="s">
        <v>2131</v>
      </c>
      <c r="F405">
        <v>1</v>
      </c>
      <c r="G405" t="str">
        <f>Překlady!$A$154</f>
        <v>U Horizontálního vedení není možné použít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Horizontálního vedení není možné použít mechaniku C3.</v>
      </c>
      <c r="N405">
        <f t="shared" si="20"/>
        <v>1</v>
      </c>
    </row>
    <row r="406" spans="1:14" x14ac:dyDescent="0.2">
      <c r="A406" s="255" t="str">
        <f>výpočty!$R$15</f>
        <v>Horizontální (zleva doprava)</v>
      </c>
      <c r="B406" t="str">
        <f>výpočty!$R$11</f>
        <v>S mechanikou C3</v>
      </c>
      <c r="C406" t="str">
        <f>výpočty!$R$3</f>
        <v>TOP Basic - vložený na šroubování plastový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U Horizontálního vedení není možné použít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Horizontálního vedení není možné použít mechaniku C3.</v>
      </c>
      <c r="N406">
        <f t="shared" si="20"/>
        <v>1</v>
      </c>
    </row>
    <row r="407" spans="1:14" x14ac:dyDescent="0.2">
      <c r="A407" s="255" t="str">
        <f>výpočty!$R$15</f>
        <v>Horizontální (zleva doprava)</v>
      </c>
      <c r="B407" t="str">
        <f>výpočty!$R$11</f>
        <v>S mechanikou C3</v>
      </c>
      <c r="C407" t="str">
        <f>výpočty!$R$3</f>
        <v>TOP Basic - vložený na šroubování plastový</v>
      </c>
      <c r="D407" s="36" t="str">
        <f>výpočty!$W$8</f>
        <v>Třešeň (E23)</v>
      </c>
      <c r="E407" t="s">
        <v>2131</v>
      </c>
      <c r="F407">
        <v>1</v>
      </c>
      <c r="G407" t="str">
        <f>Překlady!$A$154</f>
        <v>U Horizontálního vedení není možné použít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Horizontálního vedení není možné použít mechaniku C3.</v>
      </c>
      <c r="N407">
        <f t="shared" si="20"/>
        <v>1</v>
      </c>
    </row>
    <row r="408" spans="1:14" x14ac:dyDescent="0.2">
      <c r="A408" s="255" t="str">
        <f>výpočty!$R$15</f>
        <v>Horizontální (zleva doprava)</v>
      </c>
      <c r="B408" t="str">
        <f>výpočty!$R$11</f>
        <v>S mechanikou C3</v>
      </c>
      <c r="C408" t="str">
        <f>výpočty!$R$3</f>
        <v>TOP Basic - vložený na šroubování plastový</v>
      </c>
      <c r="D408" s="36" t="str">
        <f>výpočty!$W$9</f>
        <v>Javor (E23)</v>
      </c>
      <c r="E408" t="s">
        <v>2131</v>
      </c>
      <c r="F408">
        <v>1</v>
      </c>
      <c r="G408" t="str">
        <f>Překlady!$A$154</f>
        <v>U Horizontálního vedení není možné použít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Horizontálního vedení není možné použít mechaniku C3.</v>
      </c>
      <c r="N408">
        <f t="shared" si="20"/>
        <v>1</v>
      </c>
    </row>
    <row r="409" spans="1:14" x14ac:dyDescent="0.2">
      <c r="A409" s="255" t="str">
        <f>výpočty!$R$15</f>
        <v>Horizontální (zleva doprava)</v>
      </c>
      <c r="B409" t="str">
        <f>výpočty!$R$11</f>
        <v>S mechanikou C3</v>
      </c>
      <c r="C409" t="str">
        <f>výpočty!$R$3</f>
        <v>TOP Basic - vložený na šroubování plastový</v>
      </c>
      <c r="D409" s="36" t="str">
        <f>výpočty!$W$10</f>
        <v>Bříza (E23)</v>
      </c>
      <c r="E409" t="s">
        <v>2131</v>
      </c>
      <c r="F409">
        <v>1</v>
      </c>
      <c r="G409" t="str">
        <f>Překlady!$A$154</f>
        <v>U Horizontálního vedení není možné použít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Horizontálního vedení není možné použít mechaniku C3.</v>
      </c>
      <c r="N409">
        <f t="shared" si="20"/>
        <v>1</v>
      </c>
    </row>
    <row r="410" spans="1:14" x14ac:dyDescent="0.2">
      <c r="A410" s="255" t="str">
        <f>výpočty!$R$15</f>
        <v>Horizontální (zleva doprava)</v>
      </c>
      <c r="B410" t="str">
        <f>výpočty!$R$11</f>
        <v>S mechanikou C3</v>
      </c>
      <c r="C410" t="str">
        <f>výpočty!$R$3</f>
        <v>TOP Basic - vložený na šroubování plastový</v>
      </c>
      <c r="D410" s="36" t="str">
        <f>výpočty!$W$11</f>
        <v>Třešeň havana (E23)</v>
      </c>
      <c r="E410" t="s">
        <v>2131</v>
      </c>
      <c r="F410">
        <v>1</v>
      </c>
      <c r="G410" t="str">
        <f>Překlady!$A$154</f>
        <v>U Horizontálního vedení není možné použít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Horizontálního vedení není možné použít mechaniku C3.</v>
      </c>
      <c r="N410">
        <f t="shared" si="20"/>
        <v>1</v>
      </c>
    </row>
    <row r="411" spans="1:14" x14ac:dyDescent="0.2">
      <c r="A411" s="255" t="str">
        <f>výpočty!$R$15</f>
        <v>Horizontální (zleva doprava)</v>
      </c>
      <c r="B411" t="str">
        <f>výpočty!$R$11</f>
        <v>S mechanikou C3</v>
      </c>
      <c r="C411" t="str">
        <f>výpočty!$R$3</f>
        <v>TOP Basic - vložený na šroubování plastový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U Horizontálního vedení není možné použít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Horizontálního vedení není možné použít mechaniku C3.</v>
      </c>
      <c r="N411">
        <f t="shared" si="20"/>
        <v>1</v>
      </c>
    </row>
    <row r="412" spans="1:14" x14ac:dyDescent="0.2">
      <c r="A412" s="255" t="str">
        <f>výpočty!$R$15</f>
        <v>Horizontální (zleva doprava)</v>
      </c>
      <c r="B412" t="str">
        <f>výpočty!$R$11</f>
        <v>S mechanikou C3</v>
      </c>
      <c r="C412" t="str">
        <f>výpočty!$R$3</f>
        <v>TOP Basic - vložený na šroubování plastový</v>
      </c>
      <c r="D412" s="36" t="str">
        <f>výpočty!$W$14</f>
        <v>Zářivě bílá mat (E9)</v>
      </c>
      <c r="E412" t="s">
        <v>2131</v>
      </c>
      <c r="F412">
        <v>1</v>
      </c>
      <c r="G412" t="str">
        <f>Překlady!$A$154</f>
        <v>U Horizontálního vedení není možné použít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Horizontálního vedení není možné použít mechaniku C3.</v>
      </c>
      <c r="N412">
        <f t="shared" si="20"/>
        <v>1</v>
      </c>
    </row>
    <row r="413" spans="1:14" x14ac:dyDescent="0.2">
      <c r="A413" s="255" t="str">
        <f>výpočty!$R$15</f>
        <v>Horizontální (zleva doprava)</v>
      </c>
      <c r="B413" t="str">
        <f>výpočty!$R$11</f>
        <v>S mechanikou C3</v>
      </c>
      <c r="C413" t="str">
        <f>výpočty!$R$3</f>
        <v>TOP Basic - vložený na šroubování plastový</v>
      </c>
      <c r="D413" s="36" t="str">
        <f>výpočty!$W$15</f>
        <v>Hliník plast (E4)</v>
      </c>
      <c r="E413" t="s">
        <v>2131</v>
      </c>
      <c r="F413">
        <v>1</v>
      </c>
      <c r="G413" s="321" t="str">
        <f>Překlady!$A$143</f>
        <v>Barevné provedení Hliník plast v profilu E4 je vhodné na Horizontální vedení v kombinaci s vedením Classic s navíjením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Barevné provedení Hliník plast v profilu E4 je vhodné na Horizontální vedení v kombinaci s vedením Classic s navíjením dozadu.</v>
      </c>
      <c r="N413">
        <f t="shared" si="20"/>
        <v>1</v>
      </c>
    </row>
    <row r="414" spans="1:14" x14ac:dyDescent="0.2">
      <c r="A414" s="255" t="str">
        <f>výpočty!$R$15</f>
        <v>Horizontální (zleva doprava)</v>
      </c>
      <c r="B414" t="str">
        <f>výpočty!$R$11</f>
        <v>S mechanikou C3</v>
      </c>
      <c r="C414" t="str">
        <f>výpočty!$R$3</f>
        <v>TOP Basic - vložený na šroubování plastový</v>
      </c>
      <c r="D414" s="36">
        <f>výpočty!$W$17</f>
        <v>0</v>
      </c>
      <c r="E414" t="s">
        <v>2131</v>
      </c>
      <c r="F414">
        <v>1</v>
      </c>
      <c r="G414" t="str">
        <f>Překlady!$A$154</f>
        <v>U Horizontálního vedení není možné použít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Horizontálního vedení není možné použít mechaniku C3.</v>
      </c>
      <c r="N414">
        <f t="shared" si="20"/>
        <v>1</v>
      </c>
    </row>
    <row r="415" spans="1:14" x14ac:dyDescent="0.2">
      <c r="A415" s="255" t="str">
        <f>výpočty!$R$15</f>
        <v>Horizontální (zleva doprava)</v>
      </c>
      <c r="B415" t="str">
        <f>výpočty!$R$11</f>
        <v>S mechanikou C3</v>
      </c>
      <c r="C415" t="str">
        <f>výpočty!$R$3</f>
        <v>TOP Basic - vložený na šroubování plastový</v>
      </c>
      <c r="D415" s="36">
        <f>výpočty!$W$18</f>
        <v>0</v>
      </c>
      <c r="E415" t="s">
        <v>2131</v>
      </c>
      <c r="F415">
        <v>1</v>
      </c>
      <c r="G415" t="str">
        <f>Překlady!$A$154</f>
        <v>U Horizontálního vedení není možné použít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Horizontálního vedení není možné použít mechaniku C3.</v>
      </c>
      <c r="N415">
        <f t="shared" si="20"/>
        <v>1</v>
      </c>
    </row>
    <row r="416" spans="1:14" x14ac:dyDescent="0.2">
      <c r="A416" s="255" t="str">
        <f>výpočty!$R$15</f>
        <v>Horizontální (zleva doprava)</v>
      </c>
      <c r="B416" t="str">
        <f>výpočty!$R$11</f>
        <v>S mechanikou C3</v>
      </c>
      <c r="C416" t="str">
        <f>výpočty!$R$3</f>
        <v>TOP Basic - vložený na šroubování plastový</v>
      </c>
      <c r="D416" s="36" t="str">
        <f>výpočty!$W$19</f>
        <v>Hliník šířka 25 mm (metallic-line)</v>
      </c>
      <c r="E416" t="s">
        <v>2131</v>
      </c>
      <c r="F416">
        <v>1</v>
      </c>
      <c r="G416" t="str">
        <f>Překlady!$A$154</f>
        <v>U Horizontálního vedení není možné použít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Horizontálního vedení není možné použít mechaniku C3.</v>
      </c>
      <c r="N416">
        <f t="shared" si="20"/>
        <v>1</v>
      </c>
    </row>
    <row r="417" spans="1:14" ht="13.5" thickBot="1" x14ac:dyDescent="0.25">
      <c r="A417" s="255" t="str">
        <f>výpočty!$R$15</f>
        <v>Horizontální (zleva doprava)</v>
      </c>
      <c r="B417" t="str">
        <f>výpočty!$R$11</f>
        <v>S mechanikou C3</v>
      </c>
      <c r="C417" t="str">
        <f>výpočty!$R$3</f>
        <v>TOP Basic - vložený na šroubování plastový</v>
      </c>
      <c r="D417" s="27" t="str">
        <f>výpočty!$W$20</f>
        <v>Nerez šířka 25 mm (metallic-line)</v>
      </c>
      <c r="E417" t="s">
        <v>2131</v>
      </c>
      <c r="F417">
        <v>1</v>
      </c>
      <c r="G417" t="str">
        <f>Překlady!$A$154</f>
        <v>U Horizontálního vedení není možné použít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Horizontálního vedení není možné použít mechaniku C3.</v>
      </c>
      <c r="N417">
        <f t="shared" si="20"/>
        <v>1</v>
      </c>
    </row>
    <row r="418" spans="1:14" x14ac:dyDescent="0.2">
      <c r="A418" s="255" t="str">
        <f>výpočty!$R$15</f>
        <v>Horizontální (zleva doprava)</v>
      </c>
      <c r="B418" t="str">
        <f>výpočty!$R$11</f>
        <v>S mechanikou C3</v>
      </c>
      <c r="C418" t="str">
        <f>výpočty!$R$4</f>
        <v>Classic - vložený na zafrézování</v>
      </c>
      <c r="D418" s="26" t="str">
        <f>výpočty!$W$3</f>
        <v>Černá (E23)</v>
      </c>
      <c r="E418" t="s">
        <v>2131</v>
      </c>
      <c r="F418">
        <v>1</v>
      </c>
      <c r="G418" t="str">
        <f>Překlady!$A$154</f>
        <v>U Horizontálního vedení není možné použít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Horizontálního vedení není možné použít mechaniku C3.</v>
      </c>
      <c r="N418">
        <f t="shared" si="20"/>
        <v>1</v>
      </c>
    </row>
    <row r="419" spans="1:14" x14ac:dyDescent="0.2">
      <c r="A419" s="255" t="str">
        <f>výpočty!$R$15</f>
        <v>Horizontální (zleva doprava)</v>
      </c>
      <c r="B419" t="str">
        <f>výpočty!$R$11</f>
        <v>S mechanikou C3</v>
      </c>
      <c r="C419" t="str">
        <f>výpočty!$R$4</f>
        <v>Classic - vložený na zafrézování</v>
      </c>
      <c r="D419" s="36" t="str">
        <f>výpočty!$W$4</f>
        <v>Bílá (E23)</v>
      </c>
      <c r="E419" t="s">
        <v>2131</v>
      </c>
      <c r="F419">
        <v>1</v>
      </c>
      <c r="G419" t="str">
        <f>Překlady!$A$154</f>
        <v>U Horizontálního vedení není možné použít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Horizontálního vedení není možné použít mechaniku C3.</v>
      </c>
      <c r="N419">
        <f t="shared" si="20"/>
        <v>1</v>
      </c>
    </row>
    <row r="420" spans="1:14" x14ac:dyDescent="0.2">
      <c r="A420" s="255" t="str">
        <f>výpočty!$R$15</f>
        <v>Horizontální (zleva doprava)</v>
      </c>
      <c r="B420" t="str">
        <f>výpočty!$R$11</f>
        <v>S mechanikou C3</v>
      </c>
      <c r="C420" t="str">
        <f>výpočty!$R$4</f>
        <v>Classic - vložený na zafrézování</v>
      </c>
      <c r="D420" s="36" t="str">
        <f>výpočty!$W$5</f>
        <v>Šedá (E23)</v>
      </c>
      <c r="E420" t="s">
        <v>2131</v>
      </c>
      <c r="F420">
        <v>1</v>
      </c>
      <c r="G420" t="str">
        <f>Překlady!$A$154</f>
        <v>U Horizontálního vedení není možné použít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Horizontálního vedení není možné použít mechaniku C3.</v>
      </c>
      <c r="N420">
        <f t="shared" si="20"/>
        <v>1</v>
      </c>
    </row>
    <row r="421" spans="1:14" x14ac:dyDescent="0.2">
      <c r="A421" s="255" t="str">
        <f>výpočty!$R$15</f>
        <v>Horizontální (zleva doprava)</v>
      </c>
      <c r="B421" t="str">
        <f>výpočty!$R$11</f>
        <v>S mechanikou C3</v>
      </c>
      <c r="C421" t="str">
        <f>výpočty!$R$4</f>
        <v>Classic - vložený na zafrézování</v>
      </c>
      <c r="D421" s="36" t="str">
        <f>výpočty!$W$6</f>
        <v>Hliník plast (E23)</v>
      </c>
      <c r="E421" t="s">
        <v>2131</v>
      </c>
      <c r="F421">
        <v>1</v>
      </c>
      <c r="G421" t="str">
        <f>Překlady!$A$154</f>
        <v>U Horizontálního vedení není možné použít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Horizontálního vedení není možné použít mechaniku C3.</v>
      </c>
      <c r="N421">
        <f t="shared" si="20"/>
        <v>1</v>
      </c>
    </row>
    <row r="422" spans="1:14" x14ac:dyDescent="0.2">
      <c r="A422" s="255" t="str">
        <f>výpočty!$R$15</f>
        <v>Horizontální (zleva doprava)</v>
      </c>
      <c r="B422" t="str">
        <f>výpočty!$R$11</f>
        <v>S mechanikou C3</v>
      </c>
      <c r="C422" t="str">
        <f>výpočty!$R$4</f>
        <v>Classic - vložený na zafrézování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U Horizontálního vedení není možné použít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Horizontálního vedení není možné použít mechaniku C3.</v>
      </c>
      <c r="N422">
        <f t="shared" si="20"/>
        <v>1</v>
      </c>
    </row>
    <row r="423" spans="1:14" x14ac:dyDescent="0.2">
      <c r="A423" s="255" t="str">
        <f>výpočty!$R$15</f>
        <v>Horizontální (zleva doprava)</v>
      </c>
      <c r="B423" t="str">
        <f>výpočty!$R$11</f>
        <v>S mechanikou C3</v>
      </c>
      <c r="C423" t="str">
        <f>výpočty!$R$4</f>
        <v>Classic - vložený na zafrézování</v>
      </c>
      <c r="D423" s="36" t="str">
        <f>výpočty!$W$8</f>
        <v>Třešeň (E23)</v>
      </c>
      <c r="E423" t="s">
        <v>2131</v>
      </c>
      <c r="F423">
        <v>1</v>
      </c>
      <c r="G423" t="str">
        <f>Překlady!$A$154</f>
        <v>U Horizontálního vedení není možné použít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Horizontálního vedení není možné použít mechaniku C3.</v>
      </c>
      <c r="N423">
        <f t="shared" si="20"/>
        <v>1</v>
      </c>
    </row>
    <row r="424" spans="1:14" x14ac:dyDescent="0.2">
      <c r="A424" s="255" t="str">
        <f>výpočty!$R$15</f>
        <v>Horizontální (zleva doprava)</v>
      </c>
      <c r="B424" t="str">
        <f>výpočty!$R$11</f>
        <v>S mechanikou C3</v>
      </c>
      <c r="C424" t="str">
        <f>výpočty!$R$4</f>
        <v>Classic - vložený na zafrézování</v>
      </c>
      <c r="D424" s="36" t="str">
        <f>výpočty!$W$9</f>
        <v>Javor (E23)</v>
      </c>
      <c r="E424" t="s">
        <v>2131</v>
      </c>
      <c r="F424">
        <v>1</v>
      </c>
      <c r="G424" t="str">
        <f>Překlady!$A$154</f>
        <v>U Horizontálního vedení není možné použít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Horizontálního vedení není možné použít mechaniku C3.</v>
      </c>
      <c r="N424">
        <f t="shared" si="20"/>
        <v>1</v>
      </c>
    </row>
    <row r="425" spans="1:14" x14ac:dyDescent="0.2">
      <c r="A425" s="255" t="str">
        <f>výpočty!$R$15</f>
        <v>Horizontální (zleva doprava)</v>
      </c>
      <c r="B425" t="str">
        <f>výpočty!$R$11</f>
        <v>S mechanikou C3</v>
      </c>
      <c r="C425" t="str">
        <f>výpočty!$R$4</f>
        <v>Classic - vložený na zafrézování</v>
      </c>
      <c r="D425" s="36" t="str">
        <f>výpočty!$W$10</f>
        <v>Bříza (E23)</v>
      </c>
      <c r="E425" t="s">
        <v>2131</v>
      </c>
      <c r="F425">
        <v>1</v>
      </c>
      <c r="G425" t="str">
        <f>Překlady!$A$154</f>
        <v>U Horizontálního vedení není možné použít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Horizontálního vedení není možné použít mechaniku C3.</v>
      </c>
      <c r="N425">
        <f t="shared" si="20"/>
        <v>1</v>
      </c>
    </row>
    <row r="426" spans="1:14" x14ac:dyDescent="0.2">
      <c r="A426" s="255" t="str">
        <f>výpočty!$R$15</f>
        <v>Horizontální (zleva doprava)</v>
      </c>
      <c r="B426" t="str">
        <f>výpočty!$R$11</f>
        <v>S mechanikou C3</v>
      </c>
      <c r="C426" t="str">
        <f>výpočty!$R$4</f>
        <v>Classic - vložený na zafrézování</v>
      </c>
      <c r="D426" s="36" t="str">
        <f>výpočty!$W$11</f>
        <v>Třešeň havana (E23)</v>
      </c>
      <c r="E426" t="s">
        <v>2131</v>
      </c>
      <c r="F426">
        <v>1</v>
      </c>
      <c r="G426" t="str">
        <f>Překlady!$A$154</f>
        <v>U Horizontálního vedení není možné použít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Horizontálního vedení není možné použít mechaniku C3.</v>
      </c>
      <c r="N426">
        <f t="shared" si="20"/>
        <v>1</v>
      </c>
    </row>
    <row r="427" spans="1:14" x14ac:dyDescent="0.2">
      <c r="A427" s="255" t="str">
        <f>výpočty!$R$15</f>
        <v>Horizontální (zleva doprava)</v>
      </c>
      <c r="B427" t="str">
        <f>výpočty!$R$11</f>
        <v>S mechanikou C3</v>
      </c>
      <c r="C427" t="str">
        <f>výpočty!$R$4</f>
        <v>Classic - vložený na zafrézování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U Horizontálního vedení není možné použít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Horizontálního vedení není možné použít mechaniku C3.</v>
      </c>
      <c r="N427">
        <f t="shared" si="20"/>
        <v>1</v>
      </c>
    </row>
    <row r="428" spans="1:14" x14ac:dyDescent="0.2">
      <c r="A428" s="255" t="str">
        <f>výpočty!$R$15</f>
        <v>Horizontální (zleva doprava)</v>
      </c>
      <c r="B428" t="str">
        <f>výpočty!$R$11</f>
        <v>S mechanikou C3</v>
      </c>
      <c r="C428" t="str">
        <f>výpočty!$R$4</f>
        <v>Classic - vložený na zafrézování</v>
      </c>
      <c r="D428" s="36" t="str">
        <f>výpočty!$W$14</f>
        <v>Zářivě bílá mat (E9)</v>
      </c>
      <c r="E428" t="s">
        <v>2131</v>
      </c>
      <c r="F428">
        <v>1</v>
      </c>
      <c r="G428" t="str">
        <f>Překlady!$A$154</f>
        <v>U Horizontálního vedení není možné použít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Horizontálního vedení není možné použít mechaniku C3.</v>
      </c>
      <c r="N428">
        <f t="shared" si="20"/>
        <v>1</v>
      </c>
    </row>
    <row r="429" spans="1:14" x14ac:dyDescent="0.2">
      <c r="A429" s="255" t="str">
        <f>výpočty!$R$15</f>
        <v>Horizontální (zleva doprava)</v>
      </c>
      <c r="B429" t="str">
        <f>výpočty!$R$11</f>
        <v>S mechanikou C3</v>
      </c>
      <c r="C429" t="str">
        <f>výpočty!$R$4</f>
        <v>Classic - vložený na zafrézování</v>
      </c>
      <c r="D429" s="36" t="str">
        <f>výpočty!$W$15</f>
        <v>Hliník plast (E4)</v>
      </c>
      <c r="E429" t="s">
        <v>2131</v>
      </c>
      <c r="F429">
        <v>1</v>
      </c>
      <c r="G429" s="321" t="str">
        <f>Překlady!$A$143</f>
        <v>Barevné provedení Hliník plast v profilu E4 je vhodné na Horizontální vedení v kombinaci s vedením Classic s navíjením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Barevné provedení Hliník plast v profilu E4 je vhodné na Horizontální vedení v kombinaci s vedením Classic s navíjením dozadu.</v>
      </c>
      <c r="N429">
        <f t="shared" si="20"/>
        <v>1</v>
      </c>
    </row>
    <row r="430" spans="1:14" x14ac:dyDescent="0.2">
      <c r="A430" s="255" t="str">
        <f>výpočty!$R$15</f>
        <v>Horizontální (zleva doprava)</v>
      </c>
      <c r="B430" t="str">
        <f>výpočty!$R$11</f>
        <v>S mechanikou C3</v>
      </c>
      <c r="C430" t="str">
        <f>výpočty!$R$4</f>
        <v>Classic - vložený na zafrézování</v>
      </c>
      <c r="D430" s="36">
        <f>výpočty!$W$17</f>
        <v>0</v>
      </c>
      <c r="E430" t="s">
        <v>2131</v>
      </c>
      <c r="F430">
        <v>1</v>
      </c>
      <c r="G430" t="str">
        <f>Překlady!$A$154</f>
        <v>U Horizontálního vedení není možné použít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Horizontálního vedení není možné použít mechaniku C3.</v>
      </c>
      <c r="N430">
        <f t="shared" si="20"/>
        <v>1</v>
      </c>
    </row>
    <row r="431" spans="1:14" x14ac:dyDescent="0.2">
      <c r="A431" s="255" t="str">
        <f>výpočty!$R$15</f>
        <v>Horizontální (zleva doprava)</v>
      </c>
      <c r="B431" t="str">
        <f>výpočty!$R$11</f>
        <v>S mechanikou C3</v>
      </c>
      <c r="C431" t="str">
        <f>výpočty!$R$4</f>
        <v>Classic - vložený na zafrézování</v>
      </c>
      <c r="D431" s="36">
        <f>výpočty!$W$18</f>
        <v>0</v>
      </c>
      <c r="E431" t="s">
        <v>2131</v>
      </c>
      <c r="F431">
        <v>1</v>
      </c>
      <c r="G431" t="str">
        <f>Překlady!$A$154</f>
        <v>U Horizontálního vedení není možné použít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Horizontálního vedení není možné použít mechaniku C3.</v>
      </c>
      <c r="N431">
        <f t="shared" si="20"/>
        <v>1</v>
      </c>
    </row>
    <row r="432" spans="1:14" x14ac:dyDescent="0.2">
      <c r="A432" s="255" t="str">
        <f>výpočty!$R$15</f>
        <v>Horizontální (zleva doprava)</v>
      </c>
      <c r="B432" t="str">
        <f>výpočty!$R$11</f>
        <v>S mechanikou C3</v>
      </c>
      <c r="C432" t="str">
        <f>výpočty!$R$4</f>
        <v>Classic - vložený na zafrézování</v>
      </c>
      <c r="D432" s="36" t="str">
        <f>výpočty!$W$19</f>
        <v>Hliník šířka 25 mm (metallic-line)</v>
      </c>
      <c r="E432" t="s">
        <v>2131</v>
      </c>
      <c r="F432">
        <v>1</v>
      </c>
      <c r="G432" t="str">
        <f>Překlady!$A$154</f>
        <v>U Horizontálního vedení není možné použít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Horizontálního vedení není možné použít mechaniku C3.</v>
      </c>
      <c r="N432">
        <f t="shared" si="20"/>
        <v>1</v>
      </c>
    </row>
    <row r="433" spans="1:14" ht="13.5" thickBot="1" x14ac:dyDescent="0.25">
      <c r="A433" s="255" t="str">
        <f>výpočty!$R$15</f>
        <v>Horizontální (zleva doprava)</v>
      </c>
      <c r="B433" t="str">
        <f>výpočty!$R$11</f>
        <v>S mechanikou C3</v>
      </c>
      <c r="C433" t="str">
        <f>výpočty!$R$4</f>
        <v>Classic - vložený na zafrézování</v>
      </c>
      <c r="D433" s="27" t="str">
        <f>výpočty!$W$20</f>
        <v>Nerez šířka 25 mm (metallic-line)</v>
      </c>
      <c r="E433" t="s">
        <v>2131</v>
      </c>
      <c r="F433">
        <v>1</v>
      </c>
      <c r="G433" t="str">
        <f>Překlady!$A$154</f>
        <v>U Horizontálního vedení není možné použít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Horizontálního vedení není možné použít mechaniku C3.</v>
      </c>
      <c r="N433">
        <f t="shared" si="20"/>
        <v>1</v>
      </c>
    </row>
    <row r="434" spans="1:14" x14ac:dyDescent="0.2">
      <c r="A434" s="255" t="str">
        <f>výpočty!$R$15</f>
        <v>Horizontální (zleva doprava)</v>
      </c>
      <c r="B434" t="str">
        <f>výpočty!$R$11</f>
        <v>S mechanikou C3</v>
      </c>
      <c r="C434" t="str">
        <f>výpočty!$R$5</f>
        <v xml:space="preserve">Frame - naložený s krycí lištou </v>
      </c>
      <c r="D434" s="26" t="str">
        <f>výpočty!$W$3</f>
        <v>Černá (E23)</v>
      </c>
      <c r="E434" t="s">
        <v>2131</v>
      </c>
      <c r="F434">
        <v>1</v>
      </c>
      <c r="G434" t="str">
        <f>Překlady!$A$154</f>
        <v>U Horizontálního vedení není možné použít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Horizontálního vedení není možné použít mechaniku C3.</v>
      </c>
      <c r="N434">
        <f t="shared" si="20"/>
        <v>1</v>
      </c>
    </row>
    <row r="435" spans="1:14" x14ac:dyDescent="0.2">
      <c r="A435" s="255" t="str">
        <f>výpočty!$R$15</f>
        <v>Horizontální (zleva doprava)</v>
      </c>
      <c r="B435" t="str">
        <f>výpočty!$R$11</f>
        <v>S mechanikou C3</v>
      </c>
      <c r="C435" t="str">
        <f>výpočty!$R$5</f>
        <v xml:space="preserve">Frame - naložený s krycí lištou </v>
      </c>
      <c r="D435" s="36" t="str">
        <f>výpočty!$W$4</f>
        <v>Bílá (E23)</v>
      </c>
      <c r="E435" t="s">
        <v>2131</v>
      </c>
      <c r="F435">
        <v>1</v>
      </c>
      <c r="G435" t="str">
        <f>Překlady!$A$154</f>
        <v>U Horizontálního vedení není možné použít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Horizontálního vedení není možné použít mechaniku C3.</v>
      </c>
      <c r="N435">
        <f t="shared" si="20"/>
        <v>1</v>
      </c>
    </row>
    <row r="436" spans="1:14" x14ac:dyDescent="0.2">
      <c r="A436" s="255" t="str">
        <f>výpočty!$R$15</f>
        <v>Horizontální (zleva doprava)</v>
      </c>
      <c r="B436" t="str">
        <f>výpočty!$R$11</f>
        <v>S mechanikou C3</v>
      </c>
      <c r="C436" t="str">
        <f>výpočty!$R$5</f>
        <v xml:space="preserve">Frame - naložený s krycí lištou </v>
      </c>
      <c r="D436" s="36" t="str">
        <f>výpočty!$W$5</f>
        <v>Šedá (E23)</v>
      </c>
      <c r="E436" t="s">
        <v>2131</v>
      </c>
      <c r="F436">
        <v>1</v>
      </c>
      <c r="G436" t="str">
        <f>Překlady!$A$154</f>
        <v>U Horizontálního vedení není možné použít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Horizontálního vedení není možné použít mechaniku C3.</v>
      </c>
      <c r="N436">
        <f t="shared" si="20"/>
        <v>1</v>
      </c>
    </row>
    <row r="437" spans="1:14" x14ac:dyDescent="0.2">
      <c r="A437" s="255" t="str">
        <f>výpočty!$R$15</f>
        <v>Horizontální (zleva doprava)</v>
      </c>
      <c r="B437" t="str">
        <f>výpočty!$R$11</f>
        <v>S mechanikou C3</v>
      </c>
      <c r="C437" t="str">
        <f>výpočty!$R$5</f>
        <v xml:space="preserve">Frame - naložený s krycí lištou </v>
      </c>
      <c r="D437" s="36" t="str">
        <f>výpočty!$W$6</f>
        <v>Hliník plast (E23)</v>
      </c>
      <c r="E437" t="s">
        <v>2131</v>
      </c>
      <c r="F437">
        <v>1</v>
      </c>
      <c r="G437" t="str">
        <f>Překlady!$A$154</f>
        <v>U Horizontálního vedení není možné použít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Horizontálního vedení není možné použít mechaniku C3.</v>
      </c>
      <c r="N437">
        <f t="shared" si="20"/>
        <v>1</v>
      </c>
    </row>
    <row r="438" spans="1:14" x14ac:dyDescent="0.2">
      <c r="A438" s="255" t="str">
        <f>výpočty!$R$15</f>
        <v>Horizontální (zleva doprava)</v>
      </c>
      <c r="B438" t="str">
        <f>výpočty!$R$11</f>
        <v>S mechanikou C3</v>
      </c>
      <c r="C438" t="str">
        <f>výpočty!$R$5</f>
        <v xml:space="preserve">Frame - naložený s krycí lištou 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U Horizontálního vedení není možné použít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Horizontálního vedení není možné použít mechaniku C3.</v>
      </c>
      <c r="N438">
        <f t="shared" si="20"/>
        <v>1</v>
      </c>
    </row>
    <row r="439" spans="1:14" x14ac:dyDescent="0.2">
      <c r="A439" s="255" t="str">
        <f>výpočty!$R$15</f>
        <v>Horizontální (zleva doprava)</v>
      </c>
      <c r="B439" t="str">
        <f>výpočty!$R$11</f>
        <v>S mechanikou C3</v>
      </c>
      <c r="C439" t="str">
        <f>výpočty!$R$5</f>
        <v xml:space="preserve">Frame - naložený s krycí lištou </v>
      </c>
      <c r="D439" s="36" t="str">
        <f>výpočty!$W$8</f>
        <v>Třešeň (E23)</v>
      </c>
      <c r="E439" t="s">
        <v>2131</v>
      </c>
      <c r="F439">
        <v>1</v>
      </c>
      <c r="G439" t="str">
        <f>Překlady!$A$154</f>
        <v>U Horizontálního vedení není možné použít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Horizontálního vedení není možné použít mechaniku C3.</v>
      </c>
      <c r="N439">
        <f t="shared" si="20"/>
        <v>1</v>
      </c>
    </row>
    <row r="440" spans="1:14" x14ac:dyDescent="0.2">
      <c r="A440" s="255" t="str">
        <f>výpočty!$R$15</f>
        <v>Horizontální (zleva doprava)</v>
      </c>
      <c r="B440" t="str">
        <f>výpočty!$R$11</f>
        <v>S mechanikou C3</v>
      </c>
      <c r="C440" t="str">
        <f>výpočty!$R$5</f>
        <v xml:space="preserve">Frame - naložený s krycí lištou </v>
      </c>
      <c r="D440" s="36" t="str">
        <f>výpočty!$W$9</f>
        <v>Javor (E23)</v>
      </c>
      <c r="E440" t="s">
        <v>2131</v>
      </c>
      <c r="F440">
        <v>1</v>
      </c>
      <c r="G440" t="str">
        <f>Překlady!$A$154</f>
        <v>U Horizontálního vedení není možné použít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Horizontálního vedení není možné použít mechaniku C3.</v>
      </c>
      <c r="N440">
        <f t="shared" si="20"/>
        <v>1</v>
      </c>
    </row>
    <row r="441" spans="1:14" x14ac:dyDescent="0.2">
      <c r="A441" s="255" t="str">
        <f>výpočty!$R$15</f>
        <v>Horizontální (zleva doprava)</v>
      </c>
      <c r="B441" t="str">
        <f>výpočty!$R$11</f>
        <v>S mechanikou C3</v>
      </c>
      <c r="C441" t="str">
        <f>výpočty!$R$5</f>
        <v xml:space="preserve">Frame - naložený s krycí lištou </v>
      </c>
      <c r="D441" s="36" t="str">
        <f>výpočty!$W$10</f>
        <v>Bříza (E23)</v>
      </c>
      <c r="E441" t="s">
        <v>2131</v>
      </c>
      <c r="F441">
        <v>1</v>
      </c>
      <c r="G441" t="str">
        <f>Překlady!$A$154</f>
        <v>U Horizontálního vedení není možné použít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Horizontálního vedení není možné použít mechaniku C3.</v>
      </c>
      <c r="N441">
        <f t="shared" si="20"/>
        <v>1</v>
      </c>
    </row>
    <row r="442" spans="1:14" x14ac:dyDescent="0.2">
      <c r="A442" s="255" t="str">
        <f>výpočty!$R$15</f>
        <v>Horizontální (zleva doprava)</v>
      </c>
      <c r="B442" t="str">
        <f>výpočty!$R$11</f>
        <v>S mechanikou C3</v>
      </c>
      <c r="C442" t="str">
        <f>výpočty!$R$5</f>
        <v xml:space="preserve">Frame - naložený s krycí lištou </v>
      </c>
      <c r="D442" s="36" t="str">
        <f>výpočty!$W$11</f>
        <v>Třešeň havana (E23)</v>
      </c>
      <c r="E442" t="s">
        <v>2131</v>
      </c>
      <c r="F442">
        <v>1</v>
      </c>
      <c r="G442" t="str">
        <f>Překlady!$A$154</f>
        <v>U Horizontálního vedení není možné použít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Horizontálního vedení není možné použít mechaniku C3.</v>
      </c>
      <c r="N442">
        <f t="shared" si="20"/>
        <v>1</v>
      </c>
    </row>
    <row r="443" spans="1:14" x14ac:dyDescent="0.2">
      <c r="A443" s="255" t="str">
        <f>výpočty!$R$15</f>
        <v>Horizontální (zleva doprava)</v>
      </c>
      <c r="B443" t="str">
        <f>výpočty!$R$11</f>
        <v>S mechanikou C3</v>
      </c>
      <c r="C443" t="str">
        <f>výpočty!$R$5</f>
        <v xml:space="preserve">Frame - naložený s krycí lištou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U Horizontálního vedení není možné použít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Horizontálního vedení není možné použít mechaniku C3.</v>
      </c>
      <c r="N443">
        <f t="shared" si="20"/>
        <v>1</v>
      </c>
    </row>
    <row r="444" spans="1:14" x14ac:dyDescent="0.2">
      <c r="A444" s="255" t="str">
        <f>výpočty!$R$15</f>
        <v>Horizontální (zleva doprava)</v>
      </c>
      <c r="B444" t="str">
        <f>výpočty!$R$11</f>
        <v>S mechanikou C3</v>
      </c>
      <c r="C444" t="str">
        <f>výpočty!$R$5</f>
        <v xml:space="preserve">Frame - naložený s krycí lištou </v>
      </c>
      <c r="D444" s="36" t="str">
        <f>výpočty!$W$14</f>
        <v>Zářivě bílá mat (E9)</v>
      </c>
      <c r="E444" t="s">
        <v>2131</v>
      </c>
      <c r="F444">
        <v>1</v>
      </c>
      <c r="G444" t="str">
        <f>Překlady!$A$154</f>
        <v>U Horizontálního vedení není možné použít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Horizontálního vedení není možné použít mechaniku C3.</v>
      </c>
      <c r="N444">
        <f t="shared" si="20"/>
        <v>1</v>
      </c>
    </row>
    <row r="445" spans="1:14" x14ac:dyDescent="0.2">
      <c r="A445" s="255" t="str">
        <f>výpočty!$R$15</f>
        <v>Horizontální (zleva doprava)</v>
      </c>
      <c r="B445" t="str">
        <f>výpočty!$R$11</f>
        <v>S mechanikou C3</v>
      </c>
      <c r="C445" t="str">
        <f>výpočty!$R$5</f>
        <v xml:space="preserve">Frame - naložený s krycí lištou </v>
      </c>
      <c r="D445" s="36" t="str">
        <f>výpočty!$W$15</f>
        <v>Hliník plast (E4)</v>
      </c>
      <c r="E445" t="s">
        <v>2131</v>
      </c>
      <c r="F445">
        <v>1</v>
      </c>
      <c r="G445" s="321" t="str">
        <f>Překlady!$A$143</f>
        <v>Barevné provedení Hliník plast v profilu E4 je vhodné na Horizontální vedení v kombinaci s vedením Classic s navíjením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Barevné provedení Hliník plast v profilu E4 je vhodné na Horizontální vedení v kombinaci s vedením Classic s navíjením dozadu.</v>
      </c>
      <c r="N445">
        <f t="shared" si="20"/>
        <v>1</v>
      </c>
    </row>
    <row r="446" spans="1:14" x14ac:dyDescent="0.2">
      <c r="A446" s="255" t="str">
        <f>výpočty!$R$15</f>
        <v>Horizontální (zleva doprava)</v>
      </c>
      <c r="B446" t="str">
        <f>výpočty!$R$11</f>
        <v>S mechanikou C3</v>
      </c>
      <c r="C446" t="str">
        <f>výpočty!$R$5</f>
        <v xml:space="preserve">Frame - naložený s krycí lištou </v>
      </c>
      <c r="D446" s="36">
        <f>výpočty!$W$17</f>
        <v>0</v>
      </c>
      <c r="E446" t="s">
        <v>2131</v>
      </c>
      <c r="F446">
        <v>1</v>
      </c>
      <c r="G446" t="str">
        <f>Překlady!$A$154</f>
        <v>U Horizontálního vedení není možné použít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Horizontálního vedení není možné použít mechaniku C3.</v>
      </c>
      <c r="N446">
        <f t="shared" si="20"/>
        <v>1</v>
      </c>
    </row>
    <row r="447" spans="1:14" x14ac:dyDescent="0.2">
      <c r="A447" s="255" t="str">
        <f>výpočty!$R$15</f>
        <v>Horizontální (zleva doprava)</v>
      </c>
      <c r="B447" t="str">
        <f>výpočty!$R$11</f>
        <v>S mechanikou C3</v>
      </c>
      <c r="C447" t="str">
        <f>výpočty!$R$5</f>
        <v xml:space="preserve">Frame - naložený s krycí lištou </v>
      </c>
      <c r="D447" s="36">
        <f>výpočty!$W$18</f>
        <v>0</v>
      </c>
      <c r="E447" t="s">
        <v>2131</v>
      </c>
      <c r="F447">
        <v>1</v>
      </c>
      <c r="G447" t="str">
        <f>Překlady!$A$154</f>
        <v>U Horizontálního vedení není možné použít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Horizontálního vedení není možné použít mechaniku C3.</v>
      </c>
      <c r="N447">
        <f t="shared" si="20"/>
        <v>1</v>
      </c>
    </row>
    <row r="448" spans="1:14" x14ac:dyDescent="0.2">
      <c r="A448" s="255" t="str">
        <f>výpočty!$R$15</f>
        <v>Horizontální (zleva doprava)</v>
      </c>
      <c r="B448" t="str">
        <f>výpočty!$R$11</f>
        <v>S mechanikou C3</v>
      </c>
      <c r="C448" t="str">
        <f>výpočty!$R$5</f>
        <v xml:space="preserve">Frame - naložený s krycí lištou </v>
      </c>
      <c r="D448" s="36" t="str">
        <f>výpočty!$W$19</f>
        <v>Hliník šířka 25 mm (metallic-line)</v>
      </c>
      <c r="E448" t="s">
        <v>2131</v>
      </c>
      <c r="F448">
        <v>1</v>
      </c>
      <c r="G448" t="str">
        <f>Překlady!$A$154</f>
        <v>U Horizontálního vedení není možné použít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Horizontálního vedení není možné použít mechaniku C3.</v>
      </c>
      <c r="N448">
        <f t="shared" si="20"/>
        <v>1</v>
      </c>
    </row>
    <row r="449" spans="1:14" ht="13.5" thickBot="1" x14ac:dyDescent="0.25">
      <c r="A449" s="255" t="str">
        <f>výpočty!$R$15</f>
        <v>Horizontální (zleva doprava)</v>
      </c>
      <c r="B449" t="str">
        <f>výpočty!$R$11</f>
        <v>S mechanikou C3</v>
      </c>
      <c r="C449" t="str">
        <f>výpočty!$R$5</f>
        <v xml:space="preserve">Frame - naložený s krycí lištou </v>
      </c>
      <c r="D449" s="27" t="str">
        <f>výpočty!$W$20</f>
        <v>Nerez šířka 25 mm (metallic-line)</v>
      </c>
      <c r="E449" t="s">
        <v>2131</v>
      </c>
      <c r="F449">
        <v>1</v>
      </c>
      <c r="G449" t="str">
        <f>Překlady!$A$154</f>
        <v>U Horizontálního vedení není možné použít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Horizontálního vedení není možné použít mechaniku C3.</v>
      </c>
      <c r="N449">
        <f t="shared" si="20"/>
        <v>1</v>
      </c>
    </row>
    <row r="450" spans="1:14" x14ac:dyDescent="0.2">
      <c r="A450" s="255" t="str">
        <f>výpočty!$R$15</f>
        <v>Horizontální (zleva doprava)</v>
      </c>
      <c r="B450" t="str">
        <f>výpočty!$R$11</f>
        <v>S mechanikou C3</v>
      </c>
      <c r="C450" t="str">
        <f>výpočty!$R$6</f>
        <v>TOP - vložený na šroubování kovový s krycí lištou</v>
      </c>
      <c r="D450" s="26" t="str">
        <f>výpočty!$W$3</f>
        <v>Černá (E23)</v>
      </c>
      <c r="E450" t="s">
        <v>2131</v>
      </c>
      <c r="F450">
        <v>1</v>
      </c>
      <c r="G450" t="str">
        <f>Překlady!$A$154</f>
        <v>U Horizontálního vedení není možné použít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Horizontálního vedení není možné použít mechaniku C3.</v>
      </c>
      <c r="N450">
        <f t="shared" si="20"/>
        <v>1</v>
      </c>
    </row>
    <row r="451" spans="1:14" x14ac:dyDescent="0.2">
      <c r="A451" s="255" t="str">
        <f>výpočty!$R$15</f>
        <v>Horizontální (zleva doprava)</v>
      </c>
      <c r="B451" t="str">
        <f>výpočty!$R$11</f>
        <v>S mechanikou C3</v>
      </c>
      <c r="C451" t="str">
        <f>výpočty!$R$6</f>
        <v>TOP - vložený na šroubování kovový s krycí lištou</v>
      </c>
      <c r="D451" s="36" t="str">
        <f>výpočty!$W$4</f>
        <v>Bílá (E23)</v>
      </c>
      <c r="E451" t="s">
        <v>2131</v>
      </c>
      <c r="F451">
        <v>1</v>
      </c>
      <c r="G451" t="str">
        <f>Překlady!$A$154</f>
        <v>U Horizontálního vedení není možné použít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Horizontálního vedení není možné použít mechaniku C3.</v>
      </c>
      <c r="N451">
        <f t="shared" ref="N451:N482" si="23">F:F</f>
        <v>1</v>
      </c>
    </row>
    <row r="452" spans="1:14" x14ac:dyDescent="0.2">
      <c r="A452" s="255" t="str">
        <f>výpočty!$R$15</f>
        <v>Horizontální (zleva doprava)</v>
      </c>
      <c r="B452" t="str">
        <f>výpočty!$R$11</f>
        <v>S mechanikou C3</v>
      </c>
      <c r="C452" t="str">
        <f>výpočty!$R$6</f>
        <v>TOP - vložený na šroubování kovový s krycí lištou</v>
      </c>
      <c r="D452" s="36" t="str">
        <f>výpočty!$W$5</f>
        <v>Šedá (E23)</v>
      </c>
      <c r="E452" t="s">
        <v>2131</v>
      </c>
      <c r="F452">
        <v>1</v>
      </c>
      <c r="G452" t="str">
        <f>Překlady!$A$154</f>
        <v>U Horizontálního vedení není možné použít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Horizontálního vedení není možné použít mechaniku C3.</v>
      </c>
      <c r="N452">
        <f t="shared" si="23"/>
        <v>1</v>
      </c>
    </row>
    <row r="453" spans="1:14" x14ac:dyDescent="0.2">
      <c r="A453" s="255" t="str">
        <f>výpočty!$R$15</f>
        <v>Horizontální (zleva doprava)</v>
      </c>
      <c r="B453" t="str">
        <f>výpočty!$R$11</f>
        <v>S mechanikou C3</v>
      </c>
      <c r="C453" t="str">
        <f>výpočty!$R$6</f>
        <v>TOP - vložený na šroubování kovový s krycí lištou</v>
      </c>
      <c r="D453" s="36" t="str">
        <f>výpočty!$W$6</f>
        <v>Hliník plast (E23)</v>
      </c>
      <c r="E453" t="s">
        <v>2131</v>
      </c>
      <c r="F453">
        <v>1</v>
      </c>
      <c r="G453" t="str">
        <f>Překlady!$A$154</f>
        <v>U Horizontálního vedení není možné použít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Horizontálního vedení není možné použít mechaniku C3.</v>
      </c>
      <c r="N453">
        <f t="shared" si="23"/>
        <v>1</v>
      </c>
    </row>
    <row r="454" spans="1:14" x14ac:dyDescent="0.2">
      <c r="A454" s="255" t="str">
        <f>výpočty!$R$15</f>
        <v>Horizontální (zleva doprava)</v>
      </c>
      <c r="B454" t="str">
        <f>výpočty!$R$11</f>
        <v>S mechanikou C3</v>
      </c>
      <c r="C454" t="str">
        <f>výpočty!$R$6</f>
        <v>TOP - vložený na šroubování kovový s krycí lištou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U Horizontálního vedení není možné použít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Horizontálního vedení není možné použít mechaniku C3.</v>
      </c>
      <c r="N454">
        <f t="shared" si="23"/>
        <v>1</v>
      </c>
    </row>
    <row r="455" spans="1:14" x14ac:dyDescent="0.2">
      <c r="A455" s="255" t="str">
        <f>výpočty!$R$15</f>
        <v>Horizontální (zleva doprava)</v>
      </c>
      <c r="B455" t="str">
        <f>výpočty!$R$11</f>
        <v>S mechanikou C3</v>
      </c>
      <c r="C455" t="str">
        <f>výpočty!$R$6</f>
        <v>TOP - vložený na šroubování kovový s krycí lištou</v>
      </c>
      <c r="D455" s="36" t="str">
        <f>výpočty!$W$8</f>
        <v>Třešeň (E23)</v>
      </c>
      <c r="E455" t="s">
        <v>2131</v>
      </c>
      <c r="F455">
        <v>1</v>
      </c>
      <c r="G455" t="str">
        <f>Překlady!$A$154</f>
        <v>U Horizontálního vedení není možné použít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Horizontálního vedení není možné použít mechaniku C3.</v>
      </c>
      <c r="N455">
        <f t="shared" si="23"/>
        <v>1</v>
      </c>
    </row>
    <row r="456" spans="1:14" x14ac:dyDescent="0.2">
      <c r="A456" s="255" t="str">
        <f>výpočty!$R$15</f>
        <v>Horizontální (zleva doprava)</v>
      </c>
      <c r="B456" t="str">
        <f>výpočty!$R$11</f>
        <v>S mechanikou C3</v>
      </c>
      <c r="C456" t="str">
        <f>výpočty!$R$6</f>
        <v>TOP - vložený na šroubování kovový s krycí lištou</v>
      </c>
      <c r="D456" s="36" t="str">
        <f>výpočty!$W$9</f>
        <v>Javor (E23)</v>
      </c>
      <c r="E456" t="s">
        <v>2131</v>
      </c>
      <c r="F456">
        <v>1</v>
      </c>
      <c r="G456" t="str">
        <f>Překlady!$A$154</f>
        <v>U Horizontálního vedení není možné použít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Horizontálního vedení není možné použít mechaniku C3.</v>
      </c>
      <c r="N456">
        <f t="shared" si="23"/>
        <v>1</v>
      </c>
    </row>
    <row r="457" spans="1:14" x14ac:dyDescent="0.2">
      <c r="A457" s="255" t="str">
        <f>výpočty!$R$15</f>
        <v>Horizontální (zleva doprava)</v>
      </c>
      <c r="B457" t="str">
        <f>výpočty!$R$11</f>
        <v>S mechanikou C3</v>
      </c>
      <c r="C457" t="str">
        <f>výpočty!$R$6</f>
        <v>TOP - vložený na šroubování kovový s krycí lištou</v>
      </c>
      <c r="D457" s="36" t="str">
        <f>výpočty!$W$10</f>
        <v>Bříza (E23)</v>
      </c>
      <c r="E457" t="s">
        <v>2131</v>
      </c>
      <c r="F457">
        <v>1</v>
      </c>
      <c r="G457" t="str">
        <f>Překlady!$A$154</f>
        <v>U Horizontálního vedení není možné použít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Horizontálního vedení není možné použít mechaniku C3.</v>
      </c>
      <c r="N457">
        <f t="shared" si="23"/>
        <v>1</v>
      </c>
    </row>
    <row r="458" spans="1:14" x14ac:dyDescent="0.2">
      <c r="A458" s="255" t="str">
        <f>výpočty!$R$15</f>
        <v>Horizontální (zleva doprava)</v>
      </c>
      <c r="B458" t="str">
        <f>výpočty!$R$11</f>
        <v>S mechanikou C3</v>
      </c>
      <c r="C458" t="str">
        <f>výpočty!$R$6</f>
        <v>TOP - vložený na šroubování kovový s krycí lištou</v>
      </c>
      <c r="D458" s="36" t="str">
        <f>výpočty!$W$11</f>
        <v>Třešeň havana (E23)</v>
      </c>
      <c r="E458" t="s">
        <v>2131</v>
      </c>
      <c r="F458">
        <v>1</v>
      </c>
      <c r="G458" t="str">
        <f>Překlady!$A$154</f>
        <v>U Horizontálního vedení není možné použít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Horizontálního vedení není možné použít mechaniku C3.</v>
      </c>
      <c r="N458">
        <f t="shared" si="23"/>
        <v>1</v>
      </c>
    </row>
    <row r="459" spans="1:14" x14ac:dyDescent="0.2">
      <c r="A459" s="255" t="str">
        <f>výpočty!$R$15</f>
        <v>Horizontální (zleva doprava)</v>
      </c>
      <c r="B459" t="str">
        <f>výpočty!$R$11</f>
        <v>S mechanikou C3</v>
      </c>
      <c r="C459" t="str">
        <f>výpočty!$R$6</f>
        <v>TOP - vložený na šroubování kovový s krycí lištou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U Horizontálního vedení není možné použít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Horizontálního vedení není možné použít mechaniku C3.</v>
      </c>
      <c r="N459">
        <f t="shared" si="23"/>
        <v>1</v>
      </c>
    </row>
    <row r="460" spans="1:14" x14ac:dyDescent="0.2">
      <c r="A460" s="255" t="str">
        <f>výpočty!$R$15</f>
        <v>Horizontální (zleva doprava)</v>
      </c>
      <c r="B460" t="str">
        <f>výpočty!$R$11</f>
        <v>S mechanikou C3</v>
      </c>
      <c r="C460" t="str">
        <f>výpočty!$R$6</f>
        <v>TOP - vložený na šroubování kovový s krycí lištou</v>
      </c>
      <c r="D460" s="36" t="str">
        <f>výpočty!$W$14</f>
        <v>Zářivě bílá mat (E9)</v>
      </c>
      <c r="E460" t="s">
        <v>2131</v>
      </c>
      <c r="F460">
        <v>1</v>
      </c>
      <c r="G460" t="str">
        <f>Překlady!$A$154</f>
        <v>U Horizontálního vedení není možné použít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Horizontálního vedení není možné použít mechaniku C3.</v>
      </c>
      <c r="N460">
        <f t="shared" si="23"/>
        <v>1</v>
      </c>
    </row>
    <row r="461" spans="1:14" x14ac:dyDescent="0.2">
      <c r="A461" s="255" t="str">
        <f>výpočty!$R$15</f>
        <v>Horizontální (zleva doprava)</v>
      </c>
      <c r="B461" t="str">
        <f>výpočty!$R$11</f>
        <v>S mechanikou C3</v>
      </c>
      <c r="C461" t="str">
        <f>výpočty!$R$6</f>
        <v>TOP - vložený na šroubování kovový s krycí lištou</v>
      </c>
      <c r="D461" s="36" t="str">
        <f>výpočty!$W$15</f>
        <v>Hliník plast (E4)</v>
      </c>
      <c r="E461" t="s">
        <v>2131</v>
      </c>
      <c r="F461">
        <v>1</v>
      </c>
      <c r="G461" s="321" t="str">
        <f>Překlady!$A$143</f>
        <v>Barevné provedení Hliník plast v profilu E4 je vhodné na Horizontální vedení v kombinaci s vedením Classic s navíjením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Barevné provedení Hliník plast v profilu E4 je vhodné na Horizontální vedení v kombinaci s vedením Classic s navíjením dozadu.</v>
      </c>
      <c r="N461">
        <f t="shared" si="23"/>
        <v>1</v>
      </c>
    </row>
    <row r="462" spans="1:14" x14ac:dyDescent="0.2">
      <c r="A462" s="255" t="str">
        <f>výpočty!$R$15</f>
        <v>Horizontální (zleva doprava)</v>
      </c>
      <c r="B462" t="str">
        <f>výpočty!$R$11</f>
        <v>S mechanikou C3</v>
      </c>
      <c r="C462" t="str">
        <f>výpočty!$R$6</f>
        <v>TOP - vložený na šroubování kovový s krycí lištou</v>
      </c>
      <c r="D462" s="36">
        <f>výpočty!$W$17</f>
        <v>0</v>
      </c>
      <c r="E462" t="s">
        <v>2131</v>
      </c>
      <c r="F462">
        <v>1</v>
      </c>
      <c r="G462" t="str">
        <f>Překlady!$A$154</f>
        <v>U Horizontálního vedení není možné použít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Horizontálního vedení není možné použít mechaniku C3.</v>
      </c>
      <c r="N462">
        <f t="shared" si="23"/>
        <v>1</v>
      </c>
    </row>
    <row r="463" spans="1:14" x14ac:dyDescent="0.2">
      <c r="A463" s="255" t="str">
        <f>výpočty!$R$15</f>
        <v>Horizontální (zleva doprava)</v>
      </c>
      <c r="B463" t="str">
        <f>výpočty!$R$11</f>
        <v>S mechanikou C3</v>
      </c>
      <c r="C463" t="str">
        <f>výpočty!$R$6</f>
        <v>TOP - vložený na šroubování kovový s krycí lištou</v>
      </c>
      <c r="D463" s="36">
        <f>výpočty!$W$18</f>
        <v>0</v>
      </c>
      <c r="E463" t="s">
        <v>2131</v>
      </c>
      <c r="F463">
        <v>1</v>
      </c>
      <c r="G463" t="str">
        <f>Překlady!$A$154</f>
        <v>U Horizontálního vedení není možné použít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Horizontálního vedení není možné použít mechaniku C3.</v>
      </c>
      <c r="N463">
        <f t="shared" si="23"/>
        <v>1</v>
      </c>
    </row>
    <row r="464" spans="1:14" x14ac:dyDescent="0.2">
      <c r="A464" s="255" t="str">
        <f>výpočty!$R$15</f>
        <v>Horizontální (zleva doprava)</v>
      </c>
      <c r="B464" t="str">
        <f>výpočty!$R$11</f>
        <v>S mechanikou C3</v>
      </c>
      <c r="C464" t="str">
        <f>výpočty!$R$6</f>
        <v>TOP - vložený na šroubování kovový s krycí lištou</v>
      </c>
      <c r="D464" s="36" t="str">
        <f>výpočty!$W$19</f>
        <v>Hliník šířka 25 mm (metallic-line)</v>
      </c>
      <c r="E464" t="s">
        <v>2131</v>
      </c>
      <c r="F464">
        <v>1</v>
      </c>
      <c r="G464" t="str">
        <f>Překlady!$A$154</f>
        <v>U Horizontálního vedení není možné použít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Horizontálního vedení není možné použít mechaniku C3.</v>
      </c>
      <c r="N464">
        <f t="shared" si="23"/>
        <v>1</v>
      </c>
    </row>
    <row r="465" spans="1:14" ht="13.5" thickBot="1" x14ac:dyDescent="0.25">
      <c r="A465" s="255" t="str">
        <f>výpočty!$R$15</f>
        <v>Horizontální (zleva doprava)</v>
      </c>
      <c r="B465" t="str">
        <f>výpočty!$R$11</f>
        <v>S mechanikou C3</v>
      </c>
      <c r="C465" t="str">
        <f>výpočty!$R$6</f>
        <v>TOP - vložený na šroubování kovový s krycí lištou</v>
      </c>
      <c r="D465" s="27" t="str">
        <f>výpočty!$W$20</f>
        <v>Nerez šířka 25 mm (metallic-line)</v>
      </c>
      <c r="E465" t="s">
        <v>2131</v>
      </c>
      <c r="F465">
        <v>1</v>
      </c>
      <c r="G465" t="str">
        <f>Překlady!$A$154</f>
        <v>U Horizontálního vedení není možné použít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Horizontálního vedení není možné použít mechaniku C3.</v>
      </c>
      <c r="N465">
        <f t="shared" si="23"/>
        <v>1</v>
      </c>
    </row>
    <row r="466" spans="1:14" x14ac:dyDescent="0.2">
      <c r="A466" s="255" t="str">
        <f>výpočty!$R$15</f>
        <v>Horizontální (zleva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Černá (E23)</v>
      </c>
      <c r="E466" t="s">
        <v>2131</v>
      </c>
      <c r="F466">
        <v>1</v>
      </c>
      <c r="G466" t="str">
        <f>Překlady!$A$154</f>
        <v>U Horizontálního vedení není možné použít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Horizontálního vedení není možné použít mechaniku C3.</v>
      </c>
      <c r="N466">
        <f t="shared" si="23"/>
        <v>1</v>
      </c>
    </row>
    <row r="467" spans="1:14" x14ac:dyDescent="0.2">
      <c r="A467" s="255" t="str">
        <f>výpočty!$R$15</f>
        <v>Horizontální (zleva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Bílá (E23)</v>
      </c>
      <c r="E467" t="s">
        <v>2131</v>
      </c>
      <c r="F467">
        <v>1</v>
      </c>
      <c r="G467" t="str">
        <f>Překlady!$A$154</f>
        <v>U Horizontálního vedení není možné použít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Horizontálního vedení není možné použít mechaniku C3.</v>
      </c>
      <c r="N467">
        <f t="shared" si="23"/>
        <v>1</v>
      </c>
    </row>
    <row r="468" spans="1:14" x14ac:dyDescent="0.2">
      <c r="A468" s="255" t="str">
        <f>výpočty!$R$15</f>
        <v>Horizontální (zleva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2131</v>
      </c>
      <c r="F468">
        <v>1</v>
      </c>
      <c r="G468" t="str">
        <f>Překlady!$A$154</f>
        <v>U Horizontálního vedení není možné použít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Horizontálního vedení není možné použít mechaniku C3.</v>
      </c>
      <c r="N468">
        <f t="shared" si="23"/>
        <v>1</v>
      </c>
    </row>
    <row r="469" spans="1:14" x14ac:dyDescent="0.2">
      <c r="A469" s="255" t="str">
        <f>výpočty!$R$15</f>
        <v>Horizontální (zleva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2131</v>
      </c>
      <c r="F469">
        <v>1</v>
      </c>
      <c r="G469" t="str">
        <f>Překlady!$A$154</f>
        <v>U Horizontálního vedení není možné použít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Horizontálního vedení není možné použít mechaniku C3.</v>
      </c>
      <c r="N469">
        <f t="shared" si="23"/>
        <v>1</v>
      </c>
    </row>
    <row r="470" spans="1:14" x14ac:dyDescent="0.2">
      <c r="A470" s="255" t="str">
        <f>výpočty!$R$15</f>
        <v>Horizontální (zleva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U Horizontálního vedení není možné použít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Horizontálního vedení není možné použít mechaniku C3.</v>
      </c>
      <c r="N470">
        <f t="shared" si="23"/>
        <v>1</v>
      </c>
    </row>
    <row r="471" spans="1:14" x14ac:dyDescent="0.2">
      <c r="A471" s="255" t="str">
        <f>výpočty!$R$15</f>
        <v>Horizontální (zleva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Třešeň (E23)</v>
      </c>
      <c r="E471" t="s">
        <v>2131</v>
      </c>
      <c r="F471">
        <v>1</v>
      </c>
      <c r="G471" t="str">
        <f>Překlady!$A$154</f>
        <v>U Horizontálního vedení není možné použít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Horizontálního vedení není možné použít mechaniku C3.</v>
      </c>
      <c r="N471">
        <f t="shared" si="23"/>
        <v>1</v>
      </c>
    </row>
    <row r="472" spans="1:14" x14ac:dyDescent="0.2">
      <c r="A472" s="255" t="str">
        <f>výpočty!$R$15</f>
        <v>Horizontální (zleva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2131</v>
      </c>
      <c r="F472">
        <v>1</v>
      </c>
      <c r="G472" t="str">
        <f>Překlady!$A$154</f>
        <v>U Horizontálního vedení není možné použít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Horizontálního vedení není možné použít mechaniku C3.</v>
      </c>
      <c r="N472">
        <f t="shared" si="23"/>
        <v>1</v>
      </c>
    </row>
    <row r="473" spans="1:14" x14ac:dyDescent="0.2">
      <c r="A473" s="255" t="str">
        <f>výpočty!$R$15</f>
        <v>Horizontální (zleva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Bříza (E23)</v>
      </c>
      <c r="E473" t="s">
        <v>2131</v>
      </c>
      <c r="F473">
        <v>1</v>
      </c>
      <c r="G473" t="str">
        <f>Překlady!$A$154</f>
        <v>U Horizontálního vedení není možné použít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Horizontálního vedení není možné použít mechaniku C3.</v>
      </c>
      <c r="N473">
        <f t="shared" si="23"/>
        <v>1</v>
      </c>
    </row>
    <row r="474" spans="1:14" x14ac:dyDescent="0.2">
      <c r="A474" s="255" t="str">
        <f>výpočty!$R$15</f>
        <v>Horizontální (zleva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Třešeň havana (E23)</v>
      </c>
      <c r="E474" t="s">
        <v>2131</v>
      </c>
      <c r="F474">
        <v>1</v>
      </c>
      <c r="G474" t="str">
        <f>Překlady!$A$154</f>
        <v>U Horizontálního vedení není možné použít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Horizontálního vedení není možné použít mechaniku C3.</v>
      </c>
      <c r="N474">
        <f t="shared" si="23"/>
        <v>1</v>
      </c>
    </row>
    <row r="475" spans="1:14" x14ac:dyDescent="0.2">
      <c r="A475" s="255" t="str">
        <f>výpočty!$R$15</f>
        <v>Horizontální (zleva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U Horizontálního vedení není možné použít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Horizontálního vedení není možné použít mechaniku C3.</v>
      </c>
      <c r="N475">
        <f t="shared" si="23"/>
        <v>1</v>
      </c>
    </row>
    <row r="476" spans="1:14" x14ac:dyDescent="0.2">
      <c r="A476" s="255" t="str">
        <f>výpočty!$R$15</f>
        <v>Horizontální (zleva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Zářivě bílá mat (E9)</v>
      </c>
      <c r="E476" t="s">
        <v>2131</v>
      </c>
      <c r="F476">
        <v>1</v>
      </c>
      <c r="G476" t="str">
        <f>Překlady!$A$154</f>
        <v>U Horizontálního vedení není možné použít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Horizontálního vedení není možné použít mechaniku C3.</v>
      </c>
      <c r="N476">
        <f t="shared" si="23"/>
        <v>1</v>
      </c>
    </row>
    <row r="477" spans="1:14" x14ac:dyDescent="0.2">
      <c r="A477" s="255" t="str">
        <f>výpočty!$R$15</f>
        <v>Horizontální (zleva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2131</v>
      </c>
      <c r="F477">
        <v>1</v>
      </c>
      <c r="G477" s="321" t="str">
        <f>Překlady!$A$143</f>
        <v>Barevné provedení Hliník plast v profilu E4 je vhodné na Horizontální vedení v kombinaci s vedením Classic s navíjením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Barevné provedení Hliník plast v profilu E4 je vhodné na Horizontální vedení v kombinaci s vedením Classic s navíjením dozadu.</v>
      </c>
      <c r="N477">
        <f t="shared" si="23"/>
        <v>1</v>
      </c>
    </row>
    <row r="478" spans="1:14" x14ac:dyDescent="0.2">
      <c r="A478" s="255" t="str">
        <f>výpočty!$R$15</f>
        <v>Horizontální (zleva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2131</v>
      </c>
      <c r="F478">
        <v>1</v>
      </c>
      <c r="G478" t="str">
        <f>Překlady!$A$154</f>
        <v>U Horizontálního vedení není možné použít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Horizontálního vedení není možné použít mechaniku C3.</v>
      </c>
      <c r="N478">
        <f t="shared" si="23"/>
        <v>1</v>
      </c>
    </row>
    <row r="479" spans="1:14" x14ac:dyDescent="0.2">
      <c r="A479" s="255" t="str">
        <f>výpočty!$R$15</f>
        <v>Horizontální (zleva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2131</v>
      </c>
      <c r="F479">
        <v>1</v>
      </c>
      <c r="G479" t="str">
        <f>Překlady!$A$154</f>
        <v>U Horizontálního vedení není možné použít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Horizontálního vedení není možné použít mechaniku C3.</v>
      </c>
      <c r="N479">
        <f t="shared" si="23"/>
        <v>1</v>
      </c>
    </row>
    <row r="480" spans="1:14" x14ac:dyDescent="0.2">
      <c r="A480" s="255" t="str">
        <f>výpočty!$R$15</f>
        <v>Horizontální (zleva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šířka 25 mm (metallic-line)</v>
      </c>
      <c r="E480" t="s">
        <v>2131</v>
      </c>
      <c r="F480">
        <v>1</v>
      </c>
      <c r="G480" t="str">
        <f>Překlady!$A$154</f>
        <v>U Horizontálního vedení není možné použít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Horizontálního vedení není možné použít mechaniku C3.</v>
      </c>
      <c r="N480">
        <f t="shared" si="23"/>
        <v>1</v>
      </c>
    </row>
    <row r="481" spans="1:14" ht="13.5" thickBot="1" x14ac:dyDescent="0.25">
      <c r="A481" s="255" t="str">
        <f>výpočty!$R$15</f>
        <v>Horizontální (zleva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šířka 25 mm (metallic-line)</v>
      </c>
      <c r="E481" t="s">
        <v>2131</v>
      </c>
      <c r="F481">
        <v>1</v>
      </c>
      <c r="G481" t="str">
        <f>Překlady!$A$154</f>
        <v>U Horizontálního vedení není možné použít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Horizontálního vedení není možné použít mechaniku C3.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4" t="str">
        <f>Překlady!A141</f>
        <v>Typy roletových profilů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6"/>
    </row>
    <row r="3" spans="2:14" ht="6.75" customHeight="1" x14ac:dyDescent="0.2"/>
    <row r="4" spans="2:14" x14ac:dyDescent="0.2">
      <c r="C4" s="615" t="s">
        <v>1317</v>
      </c>
      <c r="D4" s="615"/>
      <c r="E4" s="615"/>
      <c r="G4" s="615" t="s">
        <v>2158</v>
      </c>
      <c r="H4" s="615"/>
      <c r="I4" s="615"/>
      <c r="K4" s="615" t="s">
        <v>2159</v>
      </c>
      <c r="L4" s="615"/>
      <c r="M4" s="615"/>
    </row>
    <row r="5" spans="2:14" x14ac:dyDescent="0.2">
      <c r="C5" s="221" t="str">
        <f>Překlady!A165</f>
        <v>plastové provedení</v>
      </c>
      <c r="G5" s="221" t="str">
        <f>Překlady!A162</f>
        <v xml:space="preserve">kovový vzhled </v>
      </c>
      <c r="K5" s="221" t="str">
        <f>Překlady!A162</f>
        <v xml:space="preserve">kovový vzhled </v>
      </c>
    </row>
    <row r="6" spans="2:14" x14ac:dyDescent="0.2">
      <c r="C6" s="221" t="str">
        <f>Překlady!A166</f>
        <v>profily v různých barevných kombinacích</v>
      </c>
      <c r="G6" s="221" t="str">
        <f>Překlady!A158</f>
        <v>barevné provedení Hliník nebo Nerez</v>
      </c>
      <c r="K6" s="221" t="str">
        <f>Překlady!A158</f>
        <v>barevné provedení Hliník nebo Nerez</v>
      </c>
    </row>
    <row r="7" spans="2:14" x14ac:dyDescent="0.2">
      <c r="C7" s="221" t="str">
        <f>Překlady!$A$20</f>
        <v>Typ systému vedení</v>
      </c>
      <c r="G7" s="221" t="str">
        <f>Překlady!A164</f>
        <v>lamela je zevnitř otevřená</v>
      </c>
      <c r="K7" s="221" t="str">
        <f>Překlady!A163</f>
        <v>lamela je uzavřena i zevnitř</v>
      </c>
    </row>
    <row r="8" spans="2:14" x14ac:dyDescent="0.2">
      <c r="C8" s="362" t="s">
        <v>2170</v>
      </c>
      <c r="G8" s="221" t="str">
        <f>Překlady!$A$20</f>
        <v>Typ systému vedení</v>
      </c>
      <c r="K8" s="221" t="str">
        <f>Překlady!$A$20</f>
        <v>Typ systému vedení</v>
      </c>
    </row>
    <row r="9" spans="2:14" x14ac:dyDescent="0.2">
      <c r="C9" s="362" t="s">
        <v>2171</v>
      </c>
      <c r="G9" s="616" t="str">
        <f>Překlady!A159</f>
        <v>Classic (v kombinaci s plastovým vedením)</v>
      </c>
      <c r="H9" s="616"/>
      <c r="I9" s="616"/>
      <c r="K9" s="363" t="str">
        <f>Překlady!A159</f>
        <v>Classic (v kombinaci s plastovým vedením)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7" t="str">
        <f>Překlady!A38</f>
        <v xml:space="preserve">Naložený s metallic-line vedením 29mm a mech. C3 </v>
      </c>
      <c r="H12" s="617"/>
      <c r="I12" s="617"/>
      <c r="K12" s="617" t="str">
        <f>Překlady!A38</f>
        <v xml:space="preserve">Naložený s metallic-line vedením 29mm a mech. C3 </v>
      </c>
      <c r="L12" s="617"/>
      <c r="M12" s="617"/>
      <c r="N12" s="617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5" t="s">
        <v>2007</v>
      </c>
      <c r="E40" s="615"/>
      <c r="F40" s="615"/>
      <c r="I40" s="615" t="s">
        <v>2006</v>
      </c>
      <c r="J40" s="615"/>
      <c r="K40" s="615"/>
    </row>
    <row r="41" spans="4:11" x14ac:dyDescent="0.2">
      <c r="D41" s="221" t="str">
        <f>Překlady!A165</f>
        <v>plastové provedení</v>
      </c>
      <c r="I41" s="221" t="str">
        <f>Překlady!A165</f>
        <v>plastové provedení</v>
      </c>
    </row>
    <row r="42" spans="4:11" x14ac:dyDescent="0.2">
      <c r="D42" s="221" t="str">
        <f>Překlady!A167</f>
        <v>skladem design v zářivě bílé barvě</v>
      </c>
      <c r="I42" s="221" t="str">
        <f>Překlady!A161</f>
        <v>jen barva Hliník plast</v>
      </c>
    </row>
    <row r="43" spans="4:11" x14ac:dyDescent="0.2">
      <c r="D43" s="221" t="str">
        <f>Překlady!A160</f>
        <v>elegantí design</v>
      </c>
      <c r="I43" s="221" t="str">
        <f>Překlady!A168</f>
        <v>vhodné pro vysoké horizontální posuvy</v>
      </c>
    </row>
    <row r="44" spans="4:11" x14ac:dyDescent="0.2">
      <c r="D44" s="221" t="str">
        <f>Překlady!$A$20</f>
        <v>Typ systému vedení</v>
      </c>
      <c r="I44" s="221" t="str">
        <f>Překlady!$A$20</f>
        <v>Typ systému vedení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4" t="str">
        <f>Překlady!$A$14</f>
        <v>Systém navíjení</v>
      </c>
      <c r="C70" s="595"/>
      <c r="D70" s="595"/>
      <c r="E70" s="595"/>
      <c r="F70" s="595"/>
      <c r="G70" s="595"/>
      <c r="H70" s="595"/>
      <c r="I70" s="595"/>
      <c r="J70" s="595"/>
      <c r="K70" s="595"/>
      <c r="L70" s="595"/>
      <c r="M70" s="595"/>
      <c r="N70" s="596"/>
    </row>
    <row r="71" spans="2:14" x14ac:dyDescent="0.2">
      <c r="B71" s="222"/>
      <c r="N71" s="223"/>
    </row>
    <row r="72" spans="2:14" x14ac:dyDescent="0.2">
      <c r="B72" s="222"/>
      <c r="C72" s="604" t="str">
        <f>Překlady!$A$55</f>
        <v>Dozadu</v>
      </c>
      <c r="D72" s="604"/>
      <c r="E72" s="604"/>
      <c r="G72" s="603" t="str">
        <f>Překlady!$A$56</f>
        <v>Do šneku</v>
      </c>
      <c r="H72" s="603"/>
      <c r="I72" s="227"/>
      <c r="K72" s="603" t="str">
        <f>Překlady!$A$57</f>
        <v>S mechanikou C3</v>
      </c>
      <c r="L72" s="603"/>
      <c r="M72" s="603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7" t="str">
        <f>Překlady!$A$19</f>
        <v>Směr posuvu</v>
      </c>
      <c r="C85" s="598"/>
      <c r="D85" s="598"/>
      <c r="E85" s="598"/>
      <c r="F85" s="598"/>
      <c r="G85" s="598"/>
      <c r="H85" s="598"/>
      <c r="I85" s="598"/>
      <c r="J85" s="598"/>
      <c r="K85" s="598"/>
      <c r="L85" s="598"/>
      <c r="M85" s="598"/>
      <c r="N85" s="599"/>
    </row>
    <row r="86" spans="2:14" x14ac:dyDescent="0.2">
      <c r="B86" s="222"/>
      <c r="N86" s="223"/>
    </row>
    <row r="87" spans="2:14" ht="13.5" customHeight="1" x14ac:dyDescent="0.2">
      <c r="B87" s="222"/>
      <c r="C87" s="603" t="str">
        <f>Překlady!$A$59</f>
        <v>Horizontální (zleva doprava)</v>
      </c>
      <c r="D87" s="603"/>
      <c r="E87" s="603"/>
      <c r="F87" s="603" t="str">
        <f>Překlady!$A$58</f>
        <v>Vertikální (ze shora dolů)</v>
      </c>
      <c r="G87" s="603"/>
      <c r="H87" s="603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0" t="str">
        <f>Překlady!$A$35</f>
        <v>Typ systému vedení</v>
      </c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2"/>
    </row>
    <row r="103" spans="2:14" x14ac:dyDescent="0.2">
      <c r="B103" s="222"/>
      <c r="N103" s="223"/>
    </row>
    <row r="104" spans="2:14" x14ac:dyDescent="0.2">
      <c r="B104" s="222"/>
      <c r="C104" s="603" t="str">
        <f>Překlady!$A$36</f>
        <v>TOP Basic - vložený na šroubování plastový</v>
      </c>
      <c r="D104" s="603"/>
      <c r="E104" s="603"/>
      <c r="H104" s="603" t="str">
        <f>Překlady!$A$37</f>
        <v>Classic - vložený na zafrézování</v>
      </c>
      <c r="I104" s="603"/>
      <c r="J104" s="603"/>
      <c r="K104" s="603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5" t="str">
        <f>Překlady!$A$104</f>
        <v xml:space="preserve">Systém k našroubování. Vodící profily jsou pouze v nejbližší unibarvě. </v>
      </c>
      <c r="D122" s="605"/>
      <c r="E122" s="605"/>
      <c r="F122" s="605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91"/>
      <c r="D123" s="591"/>
      <c r="E123" s="591"/>
      <c r="N123" s="223"/>
    </row>
    <row r="124" spans="2:14" ht="27.75" customHeight="1" x14ac:dyDescent="0.2">
      <c r="B124" s="222"/>
      <c r="C124" s="614" t="str">
        <f>Překlady!$A$86</f>
        <v>TOP - vložený na šroubování kovový s krycí lištou</v>
      </c>
      <c r="D124" s="614"/>
      <c r="E124" s="614"/>
      <c r="F124" s="614"/>
      <c r="G124" s="612" t="str">
        <f>Překlady!$A$85</f>
        <v xml:space="preserve">Frame - naložený s krycí lištou </v>
      </c>
      <c r="H124" s="612"/>
      <c r="I124" s="612"/>
      <c r="J124" s="224"/>
      <c r="K124" s="613" t="str">
        <f>Překlady!$A$38</f>
        <v xml:space="preserve">Naložený s metallic-line vedením 29mm a mech. C3 </v>
      </c>
      <c r="L124" s="613"/>
      <c r="M124" s="613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93" t="str">
        <f>Překlady!$A$99</f>
        <v>Systém k našroubování. Jedná se o systém s hliníkovými vodícími lištami, které mají krytku identickou s dekorem použité rolety.</v>
      </c>
      <c r="D140" s="593"/>
      <c r="E140" s="593"/>
      <c r="G140" s="593" t="str">
        <f>CONCATENATE(Překlady!$A$100," ",Překlady!$A$101)</f>
        <v xml:space="preserve">Naložený systém (FRAME). Vedení tohoto systému je tvořeno ze dvou dílů a to hliníkové lišty a krytky která je barevně identická s dekorem použité rolety. 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v>
      </c>
      <c r="H140" s="593"/>
      <c r="I140" s="593"/>
      <c r="J140" s="287"/>
      <c r="K140" s="593" t="str">
        <f>Překlady!$A$173</f>
        <v>Naložený systém vedení (29mm). Jde o vedení  v barvě Hliníku nebo Nerez v profilu Metallic line a v kombinaci s mechanikou C3. Vodící lišty je potřeba před instalací upravit dle nákresu níže</v>
      </c>
      <c r="L140" s="593"/>
      <c r="M140" s="593"/>
      <c r="N140" s="223"/>
    </row>
    <row r="141" spans="2:14" x14ac:dyDescent="0.2">
      <c r="B141" s="222"/>
      <c r="C141" s="593"/>
      <c r="D141" s="593"/>
      <c r="E141" s="593"/>
      <c r="G141" s="593"/>
      <c r="H141" s="593"/>
      <c r="I141" s="593"/>
      <c r="J141" s="287"/>
      <c r="K141" s="593"/>
      <c r="L141" s="593"/>
      <c r="M141" s="593"/>
      <c r="N141" s="223"/>
    </row>
    <row r="142" spans="2:14" x14ac:dyDescent="0.2">
      <c r="B142" s="222"/>
      <c r="C142" s="593"/>
      <c r="D142" s="593"/>
      <c r="E142" s="593"/>
      <c r="G142" s="593"/>
      <c r="H142" s="593"/>
      <c r="I142" s="593"/>
      <c r="J142" s="287"/>
      <c r="K142" s="593"/>
      <c r="L142" s="593"/>
      <c r="M142" s="593"/>
      <c r="N142" s="223"/>
    </row>
    <row r="143" spans="2:14" x14ac:dyDescent="0.2">
      <c r="B143" s="222"/>
      <c r="C143" s="593"/>
      <c r="D143" s="593"/>
      <c r="E143" s="593"/>
      <c r="G143" s="593"/>
      <c r="H143" s="593"/>
      <c r="I143" s="593"/>
      <c r="J143" s="287"/>
      <c r="K143" s="593"/>
      <c r="L143" s="593"/>
      <c r="M143" s="593"/>
      <c r="N143" s="223"/>
    </row>
    <row r="144" spans="2:14" x14ac:dyDescent="0.2">
      <c r="B144" s="222"/>
      <c r="C144" s="593"/>
      <c r="D144" s="593"/>
      <c r="E144" s="593"/>
      <c r="G144" s="593"/>
      <c r="H144" s="593"/>
      <c r="I144" s="593"/>
      <c r="J144" s="287"/>
      <c r="K144" s="593"/>
      <c r="L144" s="593"/>
      <c r="M144" s="593"/>
      <c r="N144" s="223"/>
    </row>
    <row r="145" spans="2:14" x14ac:dyDescent="0.2">
      <c r="B145" s="222"/>
      <c r="C145" s="593"/>
      <c r="D145" s="593"/>
      <c r="E145" s="593"/>
      <c r="G145" s="593"/>
      <c r="H145" s="593"/>
      <c r="I145" s="593"/>
      <c r="J145" s="287"/>
      <c r="K145" s="593"/>
      <c r="L145" s="593"/>
      <c r="M145" s="593"/>
      <c r="N145" s="223"/>
    </row>
    <row r="146" spans="2:14" x14ac:dyDescent="0.2">
      <c r="B146" s="222"/>
      <c r="C146" s="593"/>
      <c r="D146" s="593"/>
      <c r="E146" s="593"/>
      <c r="G146" s="593"/>
      <c r="H146" s="593"/>
      <c r="I146" s="593"/>
      <c r="J146" s="287"/>
      <c r="K146" s="593"/>
      <c r="L146" s="593"/>
      <c r="M146" s="593"/>
      <c r="N146" s="223"/>
    </row>
    <row r="147" spans="2:14" x14ac:dyDescent="0.2">
      <c r="B147" s="222"/>
      <c r="C147" s="593"/>
      <c r="D147" s="593"/>
      <c r="E147" s="593"/>
      <c r="G147" s="593"/>
      <c r="H147" s="593"/>
      <c r="I147" s="593"/>
      <c r="J147" s="287"/>
      <c r="K147" s="593"/>
      <c r="L147" s="593"/>
      <c r="M147" s="593"/>
      <c r="N147" s="223"/>
    </row>
    <row r="148" spans="2:14" ht="137.25" customHeight="1" x14ac:dyDescent="0.2">
      <c r="B148" s="222"/>
      <c r="C148" s="593"/>
      <c r="D148" s="593"/>
      <c r="E148" s="593"/>
      <c r="G148" s="593"/>
      <c r="H148" s="593"/>
      <c r="I148" s="593"/>
      <c r="J148" s="287"/>
      <c r="K148" s="593"/>
      <c r="L148" s="593"/>
      <c r="M148" s="593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0" t="str">
        <f>Překlady!$A$21</f>
        <v>Barevné provedení</v>
      </c>
      <c r="C151" s="601"/>
      <c r="D151" s="601"/>
      <c r="E151" s="601"/>
      <c r="F151" s="601"/>
      <c r="G151" s="601"/>
      <c r="H151" s="601"/>
      <c r="I151" s="601"/>
      <c r="J151" s="601"/>
      <c r="K151" s="601"/>
      <c r="L151" s="601"/>
      <c r="M151" s="601"/>
      <c r="N151" s="602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Hliník (metallic-line)</v>
      </c>
      <c r="F153" s="227" t="str">
        <f>Překlady!$A$61</f>
        <v>Bílá (E23)</v>
      </c>
      <c r="I153" s="227" t="str">
        <f>Překlady!$A$63</f>
        <v>Hliník plast (E23)</v>
      </c>
      <c r="M153" s="227" t="str">
        <f>Překlady!$A$68</f>
        <v>Třešeň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Nerez (metallic-line)</v>
      </c>
      <c r="F158" s="227" t="str">
        <f>Překlady!$A$62</f>
        <v>Šedá (E23)</v>
      </c>
      <c r="I158" s="227" t="str">
        <f>Překlady!$A$67</f>
        <v>Bříza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Černá (E23)</v>
      </c>
      <c r="I163" s="227" t="str">
        <f>Překlady!$A$66</f>
        <v>Javor (E23)</v>
      </c>
      <c r="M163" s="227" t="str">
        <f>Překlady!$A$65</f>
        <v>Třešeň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26.05</v>
      </c>
      <c r="G172" s="225"/>
      <c r="H172" s="225"/>
      <c r="I172" s="225"/>
      <c r="J172" s="225"/>
      <c r="K172" s="225"/>
      <c r="L172" s="610" t="str">
        <f>Překlady!$A$102</f>
        <v>Barevné náhledy jsou pouze orientační</v>
      </c>
      <c r="M172" s="610"/>
      <c r="N172" s="611"/>
      <c r="O172" s="226"/>
      <c r="P172" s="226"/>
    </row>
    <row r="173" spans="2:16" ht="26.25" customHeight="1" x14ac:dyDescent="0.2">
      <c r="B173" s="606" t="str">
        <f>Překlady!$A$103</f>
        <v>Montážní návody jsou k dispozici na našem portále www.demos24plus.com</v>
      </c>
      <c r="C173" s="607"/>
      <c r="D173" s="607"/>
      <c r="E173" s="607"/>
      <c r="F173" s="607"/>
      <c r="G173" s="607"/>
      <c r="H173" s="607"/>
      <c r="I173" s="607"/>
      <c r="J173" s="607"/>
      <c r="K173" s="607"/>
      <c r="L173" s="608" t="s">
        <v>1532</v>
      </c>
      <c r="M173" s="608"/>
      <c r="N173" s="609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Z221"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522.43650000000002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1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vložený na šroubování plastový</v>
      </c>
      <c r="AG2" s="193" t="str">
        <f>$R$4</f>
        <v>Classic - vložený na zafrézování</v>
      </c>
      <c r="AH2" s="193" t="str">
        <f>$R$5</f>
        <v xml:space="preserve">Frame - naložený s krycí lištou </v>
      </c>
      <c r="AI2" s="193" t="str">
        <f>$R$6</f>
        <v>TOP - vložený na šroubování kovový s krycí lištou</v>
      </c>
      <c r="AJ2" s="193" t="str">
        <f>$R$7</f>
        <v xml:space="preserve">Naložený s metallic-line vedením 29mm a mech. C3 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vložený na šroubování plastový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Černá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Prodlužovací adaptér pro mechaniku C3</v>
      </c>
      <c r="AC3" s="91">
        <f>$AB$1*AD3</f>
        <v>522.43650000000002</v>
      </c>
      <c r="AD3" s="91">
        <f>VLOOKUP(AA3,$Z$246:$AJ$508,(5+$AE$1),0)</f>
        <v>522.43650000000002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vložený na zafrézování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Bílá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21" t="s">
        <v>358</v>
      </c>
      <c r="AP4" s="619"/>
      <c r="AQ4" s="44" t="s">
        <v>357</v>
      </c>
      <c r="AR4" s="43" t="s">
        <v>360</v>
      </c>
      <c r="AS4" s="44" t="s">
        <v>359</v>
      </c>
      <c r="AT4" s="421" t="s">
        <v>361</v>
      </c>
      <c r="AU4" s="389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naložený s krycí lištou </v>
      </c>
      <c r="S5" s="205" t="s">
        <v>2135</v>
      </c>
      <c r="T5" s="205"/>
      <c r="U5" s="205"/>
      <c r="V5" s="205">
        <v>3</v>
      </c>
      <c r="W5" s="205" t="str">
        <f>Překlady!A62</f>
        <v>Šedá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Držák mechaniky C3 kovový</v>
      </c>
      <c r="AC5" s="91">
        <f>$AB$1*AD5</f>
        <v>73.072969999999998</v>
      </c>
      <c r="AD5" s="91">
        <f>VLOOKUP(AA5,$Z$246:$AJ$508,(5+$AE$1),0)</f>
        <v>73.072969999999998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Roletový profil E23 černý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95.819739999999996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černý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95.819739999999996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vložený na šroubování kovový s krycí lištou</v>
      </c>
      <c r="S6" s="205" t="s">
        <v>1926</v>
      </c>
      <c r="T6" s="205"/>
      <c r="U6" s="205"/>
      <c r="V6" s="205">
        <v>4</v>
      </c>
      <c r="W6" s="205" t="str">
        <f>Překlady!A63</f>
        <v>Hliník plast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Kluzný kolík koncové lišty Alu 27 mm černý</v>
      </c>
      <c r="AC6" s="91">
        <f>$AB$1*AD6</f>
        <v>32.753509999999999</v>
      </c>
      <c r="AD6" s="91">
        <f>VLOOKUP(AA6,$Z$246:$AJ$508,(5+$AE$1),0)</f>
        <v>32.753509999999999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Roletový profil MetAL line 20 mm nerez 360L</v>
      </c>
      <c r="BA6" s="27">
        <f>IF(BARVA=9,výpočty!AC120,
IF(BARVA=10,výpočty!AC115,
IF(BARVA=12,AC205,
IF(BARVA=13,AC201,
IF(BARVA=15,výpočty!AC91,
IF(BARVA=16,výpočty!AC92,výpočty!AC92))))))</f>
        <v>102.7539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 xml:space="preserve">Naložený s metallic-line vedením 29mm a mech. C3 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Kluzný kolík koncové lišty Alu Kombi šedý</v>
      </c>
      <c r="AC7" s="91">
        <f>$AB$1*AD7</f>
        <v>48.376609999999999</v>
      </c>
      <c r="AD7" s="91">
        <f>VLOOKUP(AA7,$Z$246:$AJ$508,(5+$AE$1),0)</f>
        <v>48.376609999999999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Třešeň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Dozadu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Javor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šneku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Bříza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Kluzný kolík pro R95817 světle šedý</v>
      </c>
      <c r="AC10" s="91">
        <f t="shared" si="2"/>
        <v>64.641390000000001</v>
      </c>
      <c r="AD10" s="91">
        <f t="shared" si="3"/>
        <v>64.641390000000001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21" t="s">
        <v>358</v>
      </c>
      <c r="AP10" s="619"/>
      <c r="AQ10" s="44" t="s">
        <v>357</v>
      </c>
      <c r="AR10" s="43" t="s">
        <v>360</v>
      </c>
      <c r="AS10" s="44" t="s">
        <v>359</v>
      </c>
      <c r="AT10" s="421" t="s">
        <v>361</v>
      </c>
      <c r="AU10" s="389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S mechanikou C3</v>
      </c>
      <c r="S11" s="205" t="s">
        <v>2138</v>
      </c>
      <c r="T11" s="205"/>
      <c r="U11" s="205"/>
      <c r="V11" s="205">
        <v>9</v>
      </c>
      <c r="W11" s="205" t="str">
        <f>Překlady!A68</f>
        <v>Třešeň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Kluzný kolík pro R95817 černý</v>
      </c>
      <c r="AC11" s="91">
        <f t="shared" si="2"/>
        <v>64.641390000000001</v>
      </c>
      <c r="AD11" s="91">
        <f t="shared" si="3"/>
        <v>64.641390000000001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Koncová lišta černá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343.54906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černá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343.54906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Kluzný kolík Metallic-line 20 mm černý</v>
      </c>
      <c r="AC12" s="91">
        <f t="shared" si="2"/>
        <v>2.9943</v>
      </c>
      <c r="AD12" s="91">
        <f t="shared" si="3"/>
        <v>2.9943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1115.81131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Koncová lišta s přesahem Alu spodní díl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888.85438999999997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Kryt koncové lišty s přesahem černý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130.95815999999999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Vertikální (ze shora dolů)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Zářivě bílá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Kluzný kolík pro středovou úchytovou lištu černý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Kryt koncové lišty s přesahem černý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130.95815999999999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nelze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Horizontální (zleva doprava)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Hliník plast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Kluzný kolík 8 mm s brzdou světle hnědý (buk)</v>
      </c>
      <c r="AC15" s="91">
        <f t="shared" si="2"/>
        <v>91.18235</v>
      </c>
      <c r="AD15" s="91">
        <f t="shared" si="3"/>
        <v>91.18235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Kluzný kolík pro R95817 černý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64.641390000000001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Kluzný kolík pro R95817 černý</v>
      </c>
      <c r="BA15" s="115">
        <f>IF(BARVA&lt;3,výpočty!AC11,
IF(BARVA&lt;9,výpočty!AC10,
IF(BARVA=15,výpočty!AC10,výpočty!AC10)))</f>
        <v>64.641390000000001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Kluzný kolík 8 mm s brzdou bílý</v>
      </c>
      <c r="AC16" s="91">
        <f t="shared" si="2"/>
        <v>91.18235</v>
      </c>
      <c r="AD16" s="91">
        <f t="shared" si="3"/>
        <v>91.18235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Kluzný kolík 8 mm s brzdou černý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91.18235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Kluzný kolík 8 mm černý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42.24727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Kluzný kolík 8 mm s brzdou černý</v>
      </c>
      <c r="AC17" s="91">
        <f t="shared" si="2"/>
        <v>91.18235</v>
      </c>
      <c r="AD17" s="91">
        <f t="shared" si="3"/>
        <v>91.18235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Kluzný kolík koncové lišty Alu Kombi šedý</v>
      </c>
      <c r="BA17" s="27">
        <f>IF(BARVA=9,výpočty!AC21,
IF(BARVA=10,výpočty!AC21,
IF(BARVA=11," ",IF(BARVA=15,výpočty!AC7,výpočty!AC7))))</f>
        <v>48.376609999999999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Kluzný kolík 8 mm s brzdou šedý</v>
      </c>
      <c r="AC18" s="91">
        <f t="shared" si="2"/>
        <v>91.18235</v>
      </c>
      <c r="AD18" s="91">
        <f t="shared" si="3"/>
        <v>91.18235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Kluzný kolík 8 mm s brzdou černý</v>
      </c>
      <c r="BA18">
        <f>IF(NAVIJENI=3,BA16,BD18)</f>
        <v>91.18235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Kluzný kolík 8 mm s brzdou černý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91.18235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Hliník šířka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Kluzný kolík 8 mm bílý</v>
      </c>
      <c r="AC19" s="91">
        <f t="shared" si="2"/>
        <v>42.24727</v>
      </c>
      <c r="AD19" s="91">
        <f t="shared" si="3"/>
        <v>42.24727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Kluzný kolík koncové lišty Alu Kombi šedý</v>
      </c>
      <c r="BA19">
        <f>IF(NAVIJENI=3,BA17,IF(BARVA=9,výpočty!AC15,IF(BARVA=10,výpočty!AC15,IF(BARVA=11," ",IF(BARVA=15,výpočty!AC7,výpočty!AC7)))))</f>
        <v>48.376609999999999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Nerez šířka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Kluzný kolík 8 mm černý</v>
      </c>
      <c r="AC20" s="91">
        <f t="shared" si="2"/>
        <v>42.24727</v>
      </c>
      <c r="AD20" s="91">
        <f t="shared" si="3"/>
        <v>42.24727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Kluzný kolík 8 mm světle hnědý (buk)</v>
      </c>
      <c r="AC21" s="91">
        <f t="shared" si="2"/>
        <v>42.24727</v>
      </c>
      <c r="AD21" s="91">
        <f t="shared" si="3"/>
        <v>42.24727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21" t="s">
        <v>358</v>
      </c>
      <c r="AP21" s="619"/>
      <c r="AQ21" s="44" t="s">
        <v>357</v>
      </c>
      <c r="AR21" s="43" t="s">
        <v>360</v>
      </c>
      <c r="AS21" s="44" t="s">
        <v>359</v>
      </c>
      <c r="AT21" s="421" t="s">
        <v>361</v>
      </c>
      <c r="AU21" s="389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Černá (E23)</v>
      </c>
      <c r="T22" s="205"/>
      <c r="U22" s="205"/>
      <c r="V22" s="205"/>
      <c r="W22" s="205" t="str">
        <f>Překlady!A87</f>
        <v>Ano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Kluzný kolík 8 mm šedý</v>
      </c>
      <c r="AC22" s="91">
        <f t="shared" si="2"/>
        <v>42.24727</v>
      </c>
      <c r="AD22" s="91">
        <f t="shared" si="3"/>
        <v>42.24727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Krycí lišta uni černá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226.929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Krycí lišta uni černá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226.929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</v>
      </c>
      <c r="X23" s="261"/>
      <c r="Y23" s="354"/>
      <c r="Z23">
        <v>665</v>
      </c>
      <c r="AA23" s="90" t="s">
        <v>460</v>
      </c>
      <c r="AB23" s="179" t="str">
        <f t="shared" si="1"/>
        <v>Koncová lišta Alu kombi Alu 230L</v>
      </c>
      <c r="AC23" s="91">
        <f t="shared" si="2"/>
        <v>822.64931000000001</v>
      </c>
      <c r="AD23" s="91">
        <f t="shared" si="3"/>
        <v>822.64931000000001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Krycí lišta nerez (profil L) nerez 360L</v>
      </c>
      <c r="BA23" s="27">
        <f>IF(BARVA=9,výpočty!AC51,IF(BARVA=10,výpočty!AC45,IF(BARVA=11," ",IF(BARVA=15,výpočty!AC40,výpočty!AC232))))</f>
        <v>780.10965999999996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Koncová lišta Alu 27 mm alu 230L</v>
      </c>
      <c r="AC24" s="91">
        <f t="shared" si="2"/>
        <v>754.89422999999999</v>
      </c>
      <c r="AD24" s="91">
        <f t="shared" si="3"/>
        <v>754.89422999999999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Krycí lišta s přesahem Alu spodní díl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486.98874000000001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Kryt krycí lišty s přesahem - uni černá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134.29524000000001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Koncová lišta Alu Kombi nerez 360L</v>
      </c>
      <c r="AC25" s="91">
        <f t="shared" si="2"/>
        <v>1115.81131</v>
      </c>
      <c r="AD25" s="91">
        <f t="shared" si="3"/>
        <v>1115.81131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Kryt krycí lišty s přesahem - uni černá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134.29524000000001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Koncová lišta bílá</v>
      </c>
      <c r="AC26" s="91">
        <f t="shared" si="2"/>
        <v>343.54906</v>
      </c>
      <c r="AD26" s="91">
        <f t="shared" si="3"/>
        <v>343.54906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Koncová lišta bříza</v>
      </c>
      <c r="AC27" s="91">
        <f t="shared" si="2"/>
        <v>400.30196000000001</v>
      </c>
      <c r="AD27" s="91">
        <f t="shared" si="3"/>
        <v>400.30196000000001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Koncová lišta buk</v>
      </c>
      <c r="AC28" s="91">
        <f t="shared" si="2"/>
        <v>400.30196000000001</v>
      </c>
      <c r="AD28" s="91">
        <f t="shared" si="3"/>
        <v>400.30196000000001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Koncová lišta calvados</v>
      </c>
      <c r="AC29" s="91">
        <f t="shared" si="2"/>
        <v>316.77104000000003</v>
      </c>
      <c r="AD29" s="91">
        <f t="shared" si="3"/>
        <v>316.77104000000003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21" t="s">
        <v>358</v>
      </c>
      <c r="AP29" s="619"/>
      <c r="AQ29" s="44" t="s">
        <v>357</v>
      </c>
      <c r="AR29" s="43" t="s">
        <v>360</v>
      </c>
      <c r="AS29" s="44" t="s">
        <v>359</v>
      </c>
      <c r="AT29" s="421" t="s">
        <v>361</v>
      </c>
      <c r="AU29" s="389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Koncová lišta černá</v>
      </c>
      <c r="AC30" s="91">
        <f t="shared" si="2"/>
        <v>343.54906</v>
      </c>
      <c r="AD30" s="91">
        <f t="shared" si="3"/>
        <v>343.54906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Vodicí lišta na šroub černá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101.91293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Vodicí lišta na šroub černá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101.91293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Roh vodící lišta na šroub černý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29.03265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Koncová lišta hliník (plast)</v>
      </c>
      <c r="AC31" s="91">
        <f t="shared" si="2"/>
        <v>400.30196000000001</v>
      </c>
      <c r="AD31" s="91">
        <f t="shared" si="3"/>
        <v>400.30196000000001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Roh vodící lišta na šroub černý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29.03265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Vodicí lišta na šroub tmavě šedá (hliník)</v>
      </c>
      <c r="BA31" s="117">
        <f>IF(BARVA=9,výpočty!AC167,
IF(BARVA=10,výpočty!AC165,
IF(BARVA=12,AC159,
IF(BARVA=15,výpočty!AC170,výpočty!AC157))))</f>
        <v>101.91293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Roh vodící lišta na šroub tmavě šedý (hliník)</v>
      </c>
      <c r="BE31" s="119">
        <f>IF(BARVA=9,výpočty!AC128,IF(BARVA=10,výpočty!AC131,IF(BARVA=11," ",IF(BARVA=15,výpočty!AC133,výpočty!AC122))))</f>
        <v>29.03265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Koncová lišta javor</v>
      </c>
      <c r="AC32" s="91">
        <f t="shared" si="2"/>
        <v>400.30196000000001</v>
      </c>
      <c r="AD32" s="91">
        <f t="shared" si="3"/>
        <v>400.30196000000001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Vodicí lišta na šroub černá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101.91293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104.8043</v>
      </c>
      <c r="C33" s="71">
        <f t="shared" si="5"/>
        <v>262.01074999999997</v>
      </c>
      <c r="D33" s="71">
        <f t="shared" si="5"/>
        <v>400.30196000000001</v>
      </c>
      <c r="E33" s="71">
        <f t="shared" si="5"/>
        <v>42.24727</v>
      </c>
      <c r="F33" s="71">
        <f t="shared" si="5"/>
        <v>2.9943</v>
      </c>
      <c r="G33" s="71">
        <f>G57*$F$31</f>
        <v>307.31887999999998</v>
      </c>
      <c r="H33" s="72"/>
      <c r="I33" s="72" t="s">
        <v>33</v>
      </c>
      <c r="J33" s="70">
        <f t="shared" ref="J33:J38" si="6">J57*$F$31</f>
        <v>101.91293</v>
      </c>
      <c r="K33" s="72"/>
      <c r="L33" s="71">
        <f t="shared" ref="L33:L39" si="7">L57*$F$31</f>
        <v>254.78232500000001</v>
      </c>
      <c r="M33" s="72"/>
      <c r="N33" s="71">
        <f>N57*$F$31</f>
        <v>29.03265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Koncová lišta Alu kombi Alu 230L</v>
      </c>
      <c r="AC33" s="91">
        <f t="shared" si="2"/>
        <v>822.64931000000001</v>
      </c>
      <c r="AD33" s="91">
        <f t="shared" si="3"/>
        <v>822.64931000000001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Vodicí šnek 8 mm, kapacita 670 mm černý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152.06783999999999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95.819739999999996</v>
      </c>
      <c r="C34" s="71">
        <f t="shared" si="5"/>
        <v>239.54935</v>
      </c>
      <c r="D34" s="71">
        <f t="shared" si="5"/>
        <v>343.54906</v>
      </c>
      <c r="E34" s="71">
        <f t="shared" si="5"/>
        <v>91.18235</v>
      </c>
      <c r="F34" s="70"/>
      <c r="G34" s="71">
        <f>G58*$F$31</f>
        <v>226.929</v>
      </c>
      <c r="H34" s="72"/>
      <c r="I34" s="72" t="s">
        <v>13</v>
      </c>
      <c r="J34" s="70">
        <f t="shared" si="6"/>
        <v>48.395769999999999</v>
      </c>
      <c r="K34" s="72"/>
      <c r="L34" s="71">
        <f t="shared" si="7"/>
        <v>120.989425</v>
      </c>
      <c r="M34" s="72"/>
      <c r="N34" s="71">
        <f>N58*$F$31</f>
        <v>25.99616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Koncová lišta s přesahem Alu spodní díl alu</v>
      </c>
      <c r="AC34" s="91">
        <f t="shared" si="2"/>
        <v>888.85438999999997</v>
      </c>
      <c r="AD34" s="91">
        <f t="shared" si="3"/>
        <v>888.85438999999997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Vodicí šnek 8 mm, kapacita 670 mm černý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152.06783999999999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98.184399999999997</v>
      </c>
      <c r="C35" s="71">
        <f t="shared" si="5"/>
        <v>245.46099999999998</v>
      </c>
      <c r="D35" s="71">
        <f t="shared" si="5"/>
        <v>822.64931000000001</v>
      </c>
      <c r="E35" s="71">
        <f t="shared" si="5"/>
        <v>48.376609999999999</v>
      </c>
      <c r="F35" s="70"/>
      <c r="G35" s="71">
        <f>G59*$F$31</f>
        <v>570.51966000000004</v>
      </c>
      <c r="H35" s="72"/>
      <c r="I35" s="72" t="s">
        <v>38</v>
      </c>
      <c r="J35" s="70">
        <f t="shared" si="6"/>
        <v>0</v>
      </c>
      <c r="K35" s="70">
        <f>K59*$F$31</f>
        <v>120.87801</v>
      </c>
      <c r="L35" s="71">
        <f t="shared" si="7"/>
        <v>302.19502499999999</v>
      </c>
      <c r="M35" s="72"/>
      <c r="N35" s="71">
        <f>N59*$F$31</f>
        <v>33.088560000000001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Koncová lišta šedá</v>
      </c>
      <c r="AC35" s="91">
        <f t="shared" si="2"/>
        <v>343.54906</v>
      </c>
      <c r="AD35" s="91">
        <f t="shared" si="3"/>
        <v>343.54906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Vodicí šnek 8 mm, kapacita 670 mm černý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152.06783999999999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102.7539</v>
      </c>
      <c r="C36" s="71">
        <f>C60*$F$31</f>
        <v>256.88475</v>
      </c>
      <c r="D36" s="71">
        <f>D60*$F$31</f>
        <v>1115.81131</v>
      </c>
      <c r="E36" s="71">
        <f>E60*$F$31</f>
        <v>48.376609999999999</v>
      </c>
      <c r="F36" s="70"/>
      <c r="G36" s="71">
        <f>G60*$F$31</f>
        <v>1271.6065599999999</v>
      </c>
      <c r="H36" s="72"/>
      <c r="I36" s="72" t="s">
        <v>39</v>
      </c>
      <c r="J36" s="70">
        <f t="shared" si="6"/>
        <v>0</v>
      </c>
      <c r="K36" s="70">
        <f>K60*$F$31</f>
        <v>92.396720000000002</v>
      </c>
      <c r="L36" s="71">
        <f t="shared" si="7"/>
        <v>230.99180000000001</v>
      </c>
      <c r="M36" s="70"/>
      <c r="N36" s="71">
        <f>N60*$F$31</f>
        <v>33.088560000000001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Koncová lišta třešeň Havana</v>
      </c>
      <c r="AC36" s="91">
        <f t="shared" si="2"/>
        <v>316.77104000000003</v>
      </c>
      <c r="AD36" s="91">
        <f t="shared" si="3"/>
        <v>316.77104000000003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Nelze použít mech. C3!</v>
      </c>
      <c r="AQ36" t="str">
        <f>AO36</f>
        <v>Nelze použít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260.05972000000003</v>
      </c>
      <c r="L37" s="71">
        <f t="shared" si="7"/>
        <v>650.14930000000004</v>
      </c>
      <c r="M37" s="70"/>
      <c r="N37" s="71">
        <f>N61*$F$31</f>
        <v>33.088560000000001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Koncová lišta třešeň</v>
      </c>
      <c r="AC37" s="91">
        <f t="shared" si="2"/>
        <v>400.30196000000001</v>
      </c>
      <c r="AD37" s="91">
        <f t="shared" si="3"/>
        <v>400.30196000000001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457.0412</v>
      </c>
      <c r="L38" s="71">
        <f t="shared" si="7"/>
        <v>1142.6030000000001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326.22266000000002</v>
      </c>
      <c r="K39" s="74" t="s">
        <v>124</v>
      </c>
      <c r="L39" s="71">
        <f t="shared" si="7"/>
        <v>326.22266000000002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Krycí lišta s přesahem Alu 230L</v>
      </c>
      <c r="AC39" s="91">
        <f t="shared" ref="AC39:AC61" si="10">$AB$1*AD39</f>
        <v>921.11895000000004</v>
      </c>
      <c r="AD39" s="91">
        <f t="shared" ref="AD39:AD61" si="11">VLOOKUP(AA39,$Z$246:$AJ$508,(5+$AE$1),0)</f>
        <v>921.11895000000004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822.64931000000001</v>
      </c>
      <c r="E40" s="73">
        <f>E64*$F$31</f>
        <v>48.376609999999999</v>
      </c>
      <c r="F40" s="68" t="s">
        <v>85</v>
      </c>
      <c r="G40" s="71">
        <f>G64*$F$31</f>
        <v>921.11895000000004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33.088560000000001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Krycí lišta Alu (profil L) alu 230L</v>
      </c>
      <c r="AC40" s="91">
        <f t="shared" si="10"/>
        <v>570.51966000000004</v>
      </c>
      <c r="AD40" s="91">
        <f t="shared" si="11"/>
        <v>570.51966000000004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21" t="s">
        <v>358</v>
      </c>
      <c r="AP40" s="619"/>
      <c r="AQ40" s="44" t="s">
        <v>357</v>
      </c>
      <c r="AR40" s="43" t="s">
        <v>360</v>
      </c>
      <c r="AS40" s="44" t="s">
        <v>359</v>
      </c>
      <c r="AT40" s="421" t="s">
        <v>361</v>
      </c>
      <c r="AU40" s="389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1115.81131</v>
      </c>
      <c r="E41" s="72"/>
      <c r="F41" s="68" t="s">
        <v>86</v>
      </c>
      <c r="G41" s="71">
        <f>G65*$F$31</f>
        <v>1271.6065599999999</v>
      </c>
      <c r="H41" s="72"/>
      <c r="I41" s="72" t="s">
        <v>41</v>
      </c>
      <c r="J41" s="70">
        <f t="shared" si="8"/>
        <v>0</v>
      </c>
      <c r="K41" s="70">
        <f t="shared" si="12"/>
        <v>119.16104</v>
      </c>
      <c r="L41" s="71">
        <f t="shared" si="12"/>
        <v>297.90260000000001</v>
      </c>
      <c r="M41" s="70"/>
      <c r="N41" s="71">
        <f>N65*$F$31</f>
        <v>33.088560000000001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Krycí lišta s přesahem Alu nerez 360L</v>
      </c>
      <c r="AC41" s="91">
        <f t="shared" si="10"/>
        <v>1271.6065599999999</v>
      </c>
      <c r="AD41" s="91">
        <f t="shared" si="11"/>
        <v>1271.6065599999999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Vodicí lišta 8 mm na zafrézování černá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48.395769999999999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323.09528</v>
      </c>
      <c r="L42" s="71">
        <f t="shared" si="12"/>
        <v>807.73820000000001</v>
      </c>
      <c r="M42" s="70"/>
      <c r="N42" s="71">
        <f>N66*$F$31</f>
        <v>33.088560000000001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Krycí lišta uni bílá</v>
      </c>
      <c r="AC42" s="91">
        <f t="shared" si="10"/>
        <v>226.929</v>
      </c>
      <c r="AD42" s="91">
        <f t="shared" si="11"/>
        <v>226.929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Vodicí oblouk 90 ° 8 mm černý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25.99616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849.18970000000002</v>
      </c>
      <c r="D43" s="70">
        <f>D67*$F$31</f>
        <v>934.85699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572.08334000000002</v>
      </c>
      <c r="L43" s="71">
        <f t="shared" si="12"/>
        <v>1430.2083500000001</v>
      </c>
      <c r="M43" s="70"/>
      <c r="N43" s="71">
        <f>N67*$F$31</f>
        <v>33.088560000000001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Krycí lišta dekor bříza</v>
      </c>
      <c r="AC43" s="91">
        <f t="shared" si="10"/>
        <v>307.31887999999998</v>
      </c>
      <c r="AD43" s="91">
        <f t="shared" si="11"/>
        <v>307.31887999999998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Vodicí lišta 8 mm na zafrézování černá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48.395769999999999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30.99436</v>
      </c>
      <c r="D44" s="72"/>
      <c r="E44" s="72"/>
      <c r="F44" s="72"/>
      <c r="G44" s="72"/>
      <c r="H44" s="72"/>
      <c r="I44" s="72" t="s">
        <v>123</v>
      </c>
      <c r="J44" s="70">
        <f t="shared" si="8"/>
        <v>540.54475000000002</v>
      </c>
      <c r="K44" s="74" t="s">
        <v>124</v>
      </c>
      <c r="L44" s="71">
        <f t="shared" si="12"/>
        <v>540.54475000000002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Krycí lišta dekor buk</v>
      </c>
      <c r="AC44" s="91">
        <f t="shared" si="10"/>
        <v>307.31887999999998</v>
      </c>
      <c r="AD44" s="91">
        <f t="shared" si="11"/>
        <v>307.31887999999998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Vodicí šnek 8 mm, kapacita 670 mm černý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152.06783999999999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138.55318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Krycí lišta dekor calvados</v>
      </c>
      <c r="AC45" s="91">
        <f t="shared" si="10"/>
        <v>243.19434000000001</v>
      </c>
      <c r="AD45" s="91">
        <f t="shared" si="11"/>
        <v>243.19434000000001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Vodicí šnek 8 mm, kapacita 670 mm černý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152.06783999999999</v>
      </c>
      <c r="AV45" s="120">
        <f>AT45*AR44</f>
        <v>0</v>
      </c>
    </row>
    <row r="46" spans="1:56" x14ac:dyDescent="0.2">
      <c r="A46" s="67"/>
      <c r="B46" s="72"/>
      <c r="C46" s="620" t="s">
        <v>35</v>
      </c>
      <c r="D46" s="620"/>
      <c r="E46" s="620"/>
      <c r="F46" s="72"/>
      <c r="G46" s="620" t="s">
        <v>34</v>
      </c>
      <c r="H46" s="620"/>
      <c r="I46" s="620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Krycí lišta uni černá</v>
      </c>
      <c r="AC46" s="91">
        <f t="shared" si="10"/>
        <v>226.929</v>
      </c>
      <c r="AD46" s="91">
        <f t="shared" si="11"/>
        <v>226.929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Vodicí šnek 8 mm, kapacita 670 mm černý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152.06783999999999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Krycí lišta dekor hliník (plast)</v>
      </c>
      <c r="AC47" s="91">
        <f t="shared" si="10"/>
        <v>307.31887999999998</v>
      </c>
      <c r="AD47" s="91">
        <f t="shared" si="11"/>
        <v>307.31887999999998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888.85438999999997</v>
      </c>
      <c r="D48" s="70">
        <f t="shared" si="13"/>
        <v>130.95815999999999</v>
      </c>
      <c r="E48" s="75">
        <f t="shared" si="13"/>
        <v>1019.81255</v>
      </c>
      <c r="F48" s="75" t="e">
        <f t="shared" si="13"/>
        <v>#N/A</v>
      </c>
      <c r="G48" s="70">
        <f t="shared" ref="G48:I49" si="14">G72*$F$31</f>
        <v>486.98874000000001</v>
      </c>
      <c r="H48" s="70">
        <f t="shared" si="14"/>
        <v>134.29524000000001</v>
      </c>
      <c r="I48" s="75">
        <f t="shared" si="14"/>
        <v>621.28398000000004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Krycí lišta dekor javor</v>
      </c>
      <c r="AC48" s="91">
        <f t="shared" si="10"/>
        <v>307.31887999999998</v>
      </c>
      <c r="AD48" s="91">
        <f t="shared" si="11"/>
        <v>307.31887999999998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888.85438999999997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486.98874000000001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Krycí lišta s přesahem Alu spodní díl</v>
      </c>
      <c r="AC49" s="91">
        <f t="shared" si="10"/>
        <v>486.98874000000001</v>
      </c>
      <c r="AD49" s="91">
        <f t="shared" si="11"/>
        <v>486.98874000000001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Krycí lišta uni šedá</v>
      </c>
      <c r="AC50" s="91">
        <f t="shared" si="10"/>
        <v>226.929</v>
      </c>
      <c r="AD50" s="91">
        <f t="shared" si="11"/>
        <v>226.929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21" t="s">
        <v>358</v>
      </c>
      <c r="AP50" s="619"/>
      <c r="AQ50" s="44" t="s">
        <v>357</v>
      </c>
      <c r="AR50" s="43" t="s">
        <v>360</v>
      </c>
      <c r="AS50" s="44" t="s">
        <v>359</v>
      </c>
      <c r="AT50" s="421" t="s">
        <v>361</v>
      </c>
      <c r="AU50" s="389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Krycí lišta dekor třešeň Havana</v>
      </c>
      <c r="AC51" s="91">
        <f t="shared" si="10"/>
        <v>243.19434000000001</v>
      </c>
      <c r="AD51" s="91">
        <f t="shared" si="11"/>
        <v>243.19434000000001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Vodicí lišta na šroub černá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101.91293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Vodicí lišta na šroub černá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101.91293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Krycí lišta dekor třešeň</v>
      </c>
      <c r="AC52" s="91">
        <f t="shared" si="10"/>
        <v>307.31887999999998</v>
      </c>
      <c r="AD52" s="91">
        <f t="shared" si="11"/>
        <v>307.31887999999998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Vodicí lišta na šroub tmavě šedá (hliník)</v>
      </c>
      <c r="BA52" s="139">
        <f>IF(BARVA=9,výpočty!AC167,
IF(BARVA=10,výpočty!AC165,
IF(BARVA=12,AC158,
IF(BARVA=15,výpočty!AC170,výpočty!AC157))))</f>
        <v>101.91293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Krycí profil Frame šedý</v>
      </c>
      <c r="AC53" s="91">
        <f t="shared" si="10"/>
        <v>119.16104</v>
      </c>
      <c r="AD53" s="91">
        <f t="shared" si="11"/>
        <v>119.16104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Krycí profil Frame černý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119.16104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Koncovky Frame černé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138.55318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Krycí profil Frame bílý</v>
      </c>
      <c r="AC54" s="91">
        <f t="shared" si="10"/>
        <v>119.16104</v>
      </c>
      <c r="AD54" s="91">
        <f t="shared" si="11"/>
        <v>119.16104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Krycí profil Frame bříza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Vodicí šnek Top/Frame, kapacita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197.81970999999999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černý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92.396720000000002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Koncovka pro vodicí lištu R92846 levá</v>
      </c>
      <c r="BE55" s="126">
        <f>IF(BARVA&lt;13,výpočty!AC197,výpočty!AC198)</f>
        <v>15.49718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Vodicí oblouk 90 ° Top/Frame</v>
      </c>
      <c r="AQ56" t="str">
        <f>AA211</f>
        <v>R95799</v>
      </c>
      <c r="AR56">
        <f>IF(T9=1,4*OBJ_KUSY,0)</f>
        <v>0</v>
      </c>
      <c r="AT56">
        <f>AC211</f>
        <v>33.088560000000001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nelze</v>
      </c>
      <c r="AZ56" s="125" t="str">
        <f>IF(BARVA=9,výpočty!AB222,
IF(BARVA=10,výpočty!AB223,
IF(BARVA=12,AB209,
IF(BARVA=16,výpočty!AB224,
IF(BARVA=15,výpočty!AB68,Překlady!$A$84)))))</f>
        <v>nelze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104.8043</v>
      </c>
      <c r="C57" s="81">
        <f>B57*2.5</f>
        <v>262.01074999999997</v>
      </c>
      <c r="D57" s="81">
        <f>AD27</f>
        <v>400.30196000000001</v>
      </c>
      <c r="E57" s="81">
        <f>AD19</f>
        <v>42.24727</v>
      </c>
      <c r="F57" s="82">
        <f>AD12</f>
        <v>2.9943</v>
      </c>
      <c r="G57" s="81">
        <f>AD43</f>
        <v>307.31887999999998</v>
      </c>
      <c r="H57" s="68"/>
      <c r="I57" s="68" t="s">
        <v>33</v>
      </c>
      <c r="J57" s="68">
        <f>AD157</f>
        <v>101.91293</v>
      </c>
      <c r="K57" s="68"/>
      <c r="L57" s="81">
        <f t="shared" ref="L57:L67" si="15">2.5*(K57+J57)</f>
        <v>254.78232500000001</v>
      </c>
      <c r="M57" s="68"/>
      <c r="N57" s="81">
        <f>AD127</f>
        <v>29.03265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Krycí profil Frame černý</v>
      </c>
      <c r="AC57" s="91">
        <f t="shared" si="10"/>
        <v>119.16104</v>
      </c>
      <c r="AD57" s="91">
        <f t="shared" si="11"/>
        <v>119.16104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95.819739999999996</v>
      </c>
      <c r="C58" s="83">
        <f>B58*2.5</f>
        <v>239.54935</v>
      </c>
      <c r="D58" s="83">
        <f>AD30</f>
        <v>343.54906</v>
      </c>
      <c r="E58" s="146">
        <f>AD16</f>
        <v>91.18235</v>
      </c>
      <c r="F58" s="147" t="s">
        <v>408</v>
      </c>
      <c r="G58" s="83">
        <f>AD46</f>
        <v>226.929</v>
      </c>
      <c r="H58" s="68"/>
      <c r="I58" s="68" t="s">
        <v>13</v>
      </c>
      <c r="J58" s="68">
        <f>AD160</f>
        <v>48.395769999999999</v>
      </c>
      <c r="K58" s="68"/>
      <c r="L58" s="83">
        <f t="shared" si="15"/>
        <v>120.989425</v>
      </c>
      <c r="M58" s="68"/>
      <c r="N58" s="83">
        <f>AD125</f>
        <v>25.99616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Krycí profil Frame Alu 230L</v>
      </c>
      <c r="AC58" s="91">
        <f t="shared" si="10"/>
        <v>323.09528</v>
      </c>
      <c r="AD58" s="91">
        <f t="shared" si="11"/>
        <v>323.09528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98.184399999999997</v>
      </c>
      <c r="C59" s="83">
        <f>B59*2.5</f>
        <v>245.46099999999998</v>
      </c>
      <c r="D59" s="83">
        <f>AD23</f>
        <v>822.64931000000001</v>
      </c>
      <c r="E59" s="83">
        <f>AD7</f>
        <v>48.376609999999999</v>
      </c>
      <c r="F59" s="82"/>
      <c r="G59" s="83">
        <f>AD40</f>
        <v>570.51966000000004</v>
      </c>
      <c r="H59" s="68"/>
      <c r="I59" s="68" t="s">
        <v>38</v>
      </c>
      <c r="J59" s="68">
        <v>0</v>
      </c>
      <c r="K59" s="68">
        <f>AD64</f>
        <v>120.87801</v>
      </c>
      <c r="L59" s="83">
        <f t="shared" si="15"/>
        <v>302.19502499999999</v>
      </c>
      <c r="M59" s="68"/>
      <c r="N59" s="83">
        <f>AD211</f>
        <v>33.088560000000001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Krycí profil Frame hliník (plast)</v>
      </c>
      <c r="AC59" s="91">
        <f t="shared" si="10"/>
        <v>330.95582999999999</v>
      </c>
      <c r="AD59" s="91">
        <f t="shared" si="11"/>
        <v>330.95582999999999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102.7539</v>
      </c>
      <c r="C60" s="84">
        <f>B60*2.5</f>
        <v>256.88475</v>
      </c>
      <c r="D60" s="84">
        <f>AD25</f>
        <v>1115.81131</v>
      </c>
      <c r="E60" s="84">
        <f>AD7</f>
        <v>48.376609999999999</v>
      </c>
      <c r="F60" s="82"/>
      <c r="G60" s="84">
        <f>AD41</f>
        <v>1271.6065599999999</v>
      </c>
      <c r="H60" s="68"/>
      <c r="I60" s="68" t="s">
        <v>39</v>
      </c>
      <c r="J60" s="68">
        <v>0</v>
      </c>
      <c r="K60" s="68">
        <f>AD63</f>
        <v>92.396720000000002</v>
      </c>
      <c r="L60" s="83">
        <f t="shared" si="15"/>
        <v>230.99180000000001</v>
      </c>
      <c r="M60" s="68"/>
      <c r="N60" s="83">
        <f>AD211</f>
        <v>33.088560000000001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260.05972000000003</v>
      </c>
      <c r="L61" s="83">
        <f t="shared" si="15"/>
        <v>650.14930000000004</v>
      </c>
      <c r="M61" s="68"/>
      <c r="N61" s="83">
        <f>AD211</f>
        <v>33.088560000000001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457.0412</v>
      </c>
      <c r="L62" s="83">
        <f t="shared" si="15"/>
        <v>1142.6030000000001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326.22266000000002</v>
      </c>
      <c r="K63" s="74" t="s">
        <v>124</v>
      </c>
      <c r="L63" s="83">
        <f>J63</f>
        <v>326.22266000000002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Krycí profil Top bílý</v>
      </c>
      <c r="AC63" s="91">
        <f t="shared" ref="AC63:AC110" si="17">$AB$1*AD63</f>
        <v>92.396720000000002</v>
      </c>
      <c r="AD63" s="91">
        <f t="shared" ref="AD63:AD92" si="18">VLOOKUP(AA63,$Z$246:$AJ$508,(5+$AE$1),0)</f>
        <v>92.396720000000002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822.64931000000001</v>
      </c>
      <c r="E64" s="82">
        <f>AD7</f>
        <v>48.376609999999999</v>
      </c>
      <c r="F64" s="68" t="s">
        <v>85</v>
      </c>
      <c r="G64" s="82">
        <f>AD39</f>
        <v>921.11895000000004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33.088560000000001</v>
      </c>
      <c r="O64" s="69"/>
      <c r="Z64">
        <v>60</v>
      </c>
      <c r="AA64" s="90" t="s">
        <v>499</v>
      </c>
      <c r="AB64" s="179" t="str">
        <f t="shared" si="16"/>
        <v>Krycí profil Top bříza</v>
      </c>
      <c r="AC64" s="91">
        <f t="shared" si="17"/>
        <v>120.87801</v>
      </c>
      <c r="AD64" s="91">
        <f t="shared" si="18"/>
        <v>120.87801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1115.81131</v>
      </c>
      <c r="E65" s="68"/>
      <c r="F65" s="68" t="s">
        <v>86</v>
      </c>
      <c r="G65" s="82">
        <f>AD41</f>
        <v>1271.6065599999999</v>
      </c>
      <c r="H65" s="68"/>
      <c r="I65" s="68" t="s">
        <v>41</v>
      </c>
      <c r="J65" s="68">
        <v>0</v>
      </c>
      <c r="K65" s="68">
        <f>AD54</f>
        <v>119.16104</v>
      </c>
      <c r="L65" s="84">
        <f t="shared" si="15"/>
        <v>297.90260000000001</v>
      </c>
      <c r="M65" s="68"/>
      <c r="N65" s="84">
        <f>AD211</f>
        <v>33.088560000000001</v>
      </c>
      <c r="O65" s="69"/>
      <c r="Z65">
        <v>60</v>
      </c>
      <c r="AA65" s="90" t="s">
        <v>500</v>
      </c>
      <c r="AB65" s="179" t="str">
        <f t="shared" si="16"/>
        <v>Krycí profil Top buk</v>
      </c>
      <c r="AC65" s="91">
        <f t="shared" si="17"/>
        <v>120.87801</v>
      </c>
      <c r="AD65" s="91">
        <f t="shared" si="18"/>
        <v>120.87801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323.09528</v>
      </c>
      <c r="L66" s="82">
        <f t="shared" si="15"/>
        <v>807.73820000000001</v>
      </c>
      <c r="M66" s="68"/>
      <c r="N66" s="84">
        <f>AD211</f>
        <v>33.088560000000001</v>
      </c>
      <c r="O66" s="69"/>
      <c r="Z66">
        <v>60</v>
      </c>
      <c r="AA66" s="90" t="s">
        <v>500</v>
      </c>
      <c r="AB66" s="179" t="str">
        <f t="shared" si="16"/>
        <v>Krycí profil Top buk</v>
      </c>
      <c r="AC66" s="91">
        <f t="shared" si="17"/>
        <v>120.87801</v>
      </c>
      <c r="AD66" s="91">
        <f t="shared" si="18"/>
        <v>120.87801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849.18970000000002</v>
      </c>
      <c r="D67" s="68">
        <f>AD156</f>
        <v>934.85699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572.08334000000002</v>
      </c>
      <c r="L67" s="82">
        <f t="shared" si="15"/>
        <v>1430.2083500000001</v>
      </c>
      <c r="M67" s="68"/>
      <c r="N67" s="84">
        <f>AD211</f>
        <v>33.088560000000001</v>
      </c>
      <c r="O67" s="69"/>
      <c r="Z67">
        <v>34</v>
      </c>
      <c r="AA67" s="90" t="s">
        <v>501</v>
      </c>
      <c r="AB67" s="179" t="str">
        <f t="shared" si="16"/>
        <v>Krycí profil Top černý</v>
      </c>
      <c r="AC67" s="91">
        <f t="shared" si="17"/>
        <v>92.396720000000002</v>
      </c>
      <c r="AD67" s="91">
        <f t="shared" si="18"/>
        <v>92.396720000000002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30.99436</v>
      </c>
      <c r="D68" s="68"/>
      <c r="E68" s="68"/>
      <c r="F68" s="68"/>
      <c r="G68" s="68"/>
      <c r="H68" s="68"/>
      <c r="I68" s="72" t="s">
        <v>123</v>
      </c>
      <c r="J68" s="68">
        <f>AC162</f>
        <v>540.54475000000002</v>
      </c>
      <c r="K68" s="74" t="s">
        <v>124</v>
      </c>
      <c r="L68" s="82">
        <f>J68</f>
        <v>540.54475000000002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Krycí profil Top Alu 230L</v>
      </c>
      <c r="AC68" s="91">
        <f t="shared" si="17"/>
        <v>260.05972000000003</v>
      </c>
      <c r="AD68" s="91">
        <f t="shared" si="18"/>
        <v>260.05972000000003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138.55318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Krycí profil Top hliník (plast)</v>
      </c>
      <c r="AC69" s="91">
        <f t="shared" si="17"/>
        <v>120.87801</v>
      </c>
      <c r="AD69" s="91">
        <f t="shared" si="18"/>
        <v>120.87801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8" t="s">
        <v>35</v>
      </c>
      <c r="D70" s="618"/>
      <c r="E70" s="618"/>
      <c r="F70" s="68"/>
      <c r="G70" s="618" t="s">
        <v>34</v>
      </c>
      <c r="H70" s="618"/>
      <c r="I70" s="618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Krycí profil Top javor</v>
      </c>
      <c r="AC70" s="91">
        <f t="shared" si="17"/>
        <v>120.87801</v>
      </c>
      <c r="AD70" s="91">
        <f t="shared" si="18"/>
        <v>120.87801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Krycí profil Top šedý</v>
      </c>
      <c r="AC71" s="91">
        <f t="shared" si="17"/>
        <v>92.396720000000002</v>
      </c>
      <c r="AD71" s="91">
        <f t="shared" si="18"/>
        <v>92.396720000000002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888.85438999999997</v>
      </c>
      <c r="D72" s="80">
        <f>AD74</f>
        <v>130.95815999999999</v>
      </c>
      <c r="E72" s="86">
        <f>C72+D72</f>
        <v>1019.81255</v>
      </c>
      <c r="F72" s="68" t="e">
        <f>AD9</f>
        <v>#N/A</v>
      </c>
      <c r="G72" s="68">
        <f>AD49</f>
        <v>486.98874000000001</v>
      </c>
      <c r="H72" s="80">
        <f>AD84</f>
        <v>134.29524000000001</v>
      </c>
      <c r="I72" s="81">
        <f>G72+H72</f>
        <v>621.28398000000004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Krycí profil Top třešeň</v>
      </c>
      <c r="AC72" s="91">
        <f t="shared" si="17"/>
        <v>120.87801</v>
      </c>
      <c r="AD72" s="91">
        <f t="shared" si="18"/>
        <v>120.87801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888.85438999999997</v>
      </c>
      <c r="D73" s="80" t="e">
        <f>AD73</f>
        <v>#N/A</v>
      </c>
      <c r="E73" s="86" t="e">
        <f>C73+D73</f>
        <v>#N/A</v>
      </c>
      <c r="F73" s="68"/>
      <c r="G73" s="68">
        <f>AD49</f>
        <v>486.98874000000001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Kryt koncové lišty s přesahem bílý</v>
      </c>
      <c r="AC74" s="91">
        <f t="shared" si="17"/>
        <v>130.95815999999999</v>
      </c>
      <c r="AD74" s="91">
        <f t="shared" si="18"/>
        <v>130.95815999999999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Kryt koncové lišty s přesahem černý</v>
      </c>
      <c r="AC77" s="91">
        <f t="shared" si="17"/>
        <v>130.95815999999999</v>
      </c>
      <c r="AD77" s="91">
        <f t="shared" si="18"/>
        <v>130.95815999999999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Kryt koncové lišty s přesahem hliník (plast)</v>
      </c>
      <c r="AC78" s="91">
        <f t="shared" si="17"/>
        <v>221.44242</v>
      </c>
      <c r="AD78" s="91">
        <f t="shared" si="18"/>
        <v>221.44242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78.012069999999994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Kryt koncové lišty s přesahem javor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209.5889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Kryt koncové lišty s přesahem šedý</v>
      </c>
      <c r="AC80" s="91">
        <f t="shared" si="17"/>
        <v>130.95815999999999</v>
      </c>
      <c r="AD80" s="91">
        <f t="shared" si="18"/>
        <v>130.95815999999999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128.13247000000001</v>
      </c>
      <c r="M81">
        <f t="shared" si="22"/>
        <v>417.64204999999998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61.587389999999999</v>
      </c>
      <c r="M82">
        <f t="shared" si="22"/>
        <v>226.929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Kryt krycí lišty s přesahem javor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25.99616</v>
      </c>
      <c r="M83">
        <f t="shared" si="22"/>
        <v>92.396720000000002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45.38888</v>
      </c>
      <c r="M84">
        <f t="shared" si="22"/>
        <v>42.24727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Kryt krycí lišty s přesahem - uni černá</v>
      </c>
      <c r="AC84" s="91">
        <f t="shared" si="17"/>
        <v>134.29524000000001</v>
      </c>
      <c r="AD84" s="91">
        <f t="shared" si="18"/>
        <v>134.29524000000001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Kryt krycí lišty s přesahem - uni šedá</v>
      </c>
      <c r="AC85" s="91">
        <f t="shared" si="17"/>
        <v>134.29524000000001</v>
      </c>
      <c r="AD85" s="91">
        <f t="shared" si="18"/>
        <v>134.29524000000001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Kryt krycí lišty s přesahem - uni bílá</v>
      </c>
      <c r="AC86" s="91">
        <f t="shared" si="17"/>
        <v>134.29524000000001</v>
      </c>
      <c r="AD86" s="91">
        <f t="shared" si="18"/>
        <v>134.29524000000001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Kryt krycí lišty s přesahem hliník (plast)</v>
      </c>
      <c r="AC88" s="91">
        <f t="shared" si="17"/>
        <v>196.24179000000001</v>
      </c>
      <c r="AD88" s="91">
        <f t="shared" si="18"/>
        <v>196.24179000000001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Lepicí páska 50m role (podlepení žaluzií)</v>
      </c>
      <c r="AC90" s="91">
        <f t="shared" si="17"/>
        <v>830.70477000000005</v>
      </c>
      <c r="AD90" s="91">
        <f t="shared" si="18"/>
        <v>830.70477000000005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Roletový profil MetAL line 20 mm Alu 230L</v>
      </c>
      <c r="AC91" s="91">
        <f t="shared" si="17"/>
        <v>98.184399999999997</v>
      </c>
      <c r="AD91" s="91">
        <f t="shared" si="18"/>
        <v>98.184399999999997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3084.3579399999999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3084.3579399999999</v>
      </c>
      <c r="L92">
        <f>AD185</f>
        <v>3084.3579399999999</v>
      </c>
      <c r="M92">
        <f t="shared" ref="M92:M108" si="24">L92*$AB$1</f>
        <v>3084.3579399999999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Roletový profil MetAL line 20 mm nerez 360L</v>
      </c>
      <c r="AC92" s="91">
        <f t="shared" si="17"/>
        <v>102.7539</v>
      </c>
      <c r="AD92" s="91">
        <f t="shared" si="18"/>
        <v>102.7539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3606.7944399999997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3606.7944399999997</v>
      </c>
      <c r="L93">
        <f>L92+$F$31*AC3</f>
        <v>3606.7944399999997</v>
      </c>
      <c r="M93">
        <f t="shared" si="24"/>
        <v>3606.7944399999997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3068.7211400000001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3068.7211400000001</v>
      </c>
      <c r="L94">
        <f>AD181</f>
        <v>3068.7211400000001</v>
      </c>
      <c r="M94">
        <f t="shared" si="24"/>
        <v>3068.7211400000001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3591.1576400000004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3591.1576400000004</v>
      </c>
      <c r="L95">
        <f>L94+$F$31*AC3</f>
        <v>3591.1576400000004</v>
      </c>
      <c r="M95">
        <f t="shared" si="24"/>
        <v>3591.1576400000004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3244.9143199999999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3244.9143199999999</v>
      </c>
      <c r="L96">
        <f>AD182</f>
        <v>3244.9143199999999</v>
      </c>
      <c r="M96">
        <f t="shared" si="24"/>
        <v>3244.9143199999999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3767.3508199999997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3767.3508199999997</v>
      </c>
      <c r="L97">
        <f>L96+$F$31*AC3</f>
        <v>3767.3508199999997</v>
      </c>
      <c r="M97">
        <f t="shared" si="24"/>
        <v>3767.3508199999997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3390.1131300000002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3390.1131300000002</v>
      </c>
      <c r="L98">
        <f>AD183</f>
        <v>3390.1131300000002</v>
      </c>
      <c r="M98">
        <f t="shared" si="24"/>
        <v>3390.1131300000002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3912.5496300000004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3912.5496300000004</v>
      </c>
      <c r="L99">
        <f>L98+$F$31*AC3</f>
        <v>3912.5496300000004</v>
      </c>
      <c r="M99">
        <f t="shared" si="24"/>
        <v>3912.5496300000004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3505.1552700000002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3505.1552700000002</v>
      </c>
      <c r="L100">
        <f>AD184</f>
        <v>3505.1552700000002</v>
      </c>
      <c r="M100">
        <f t="shared" si="24"/>
        <v>3505.1552700000002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4027.59177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4027.59177</v>
      </c>
      <c r="L101">
        <f>L100+$F$31*AC3</f>
        <v>4027.59177</v>
      </c>
      <c r="M101">
        <f t="shared" si="24"/>
        <v>4027.59177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367.85561999999999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367.85561999999999</v>
      </c>
      <c r="L102">
        <f>AD186</f>
        <v>367.85561999999999</v>
      </c>
      <c r="M102">
        <f t="shared" si="24"/>
        <v>367.85561999999999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91.18235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91.18235</v>
      </c>
      <c r="L106">
        <f>AD18</f>
        <v>91.18235</v>
      </c>
      <c r="M106">
        <f t="shared" si="24"/>
        <v>91.18235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Nelze použít mech. C3!</v>
      </c>
      <c r="B111" s="27"/>
      <c r="C111" s="27" t="str">
        <f>IF(výpočty!$H$100=3,výpočty!C100,IF(výpočty!$H$101=3,výpočty!C101,Překlady!A92))</f>
        <v>Nelze použít mech. C3!</v>
      </c>
      <c r="D111" s="27" t="str">
        <f>IF(výpočty!$H$100=3,výpočty!D100,IF(výpočty!$H$101=3,výpočty!D101,Překlady!A92))</f>
        <v>Nelze použít mech. C3!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Roletový profil E23 bílý</v>
      </c>
      <c r="AC112" s="91">
        <f t="shared" ref="AC112:AC143" si="29">$AB$1*AD112</f>
        <v>95.819739999999996</v>
      </c>
      <c r="AD112" s="91">
        <f t="shared" ref="AD112:AD143" si="30">VLOOKUP(AA112,$Z$246:$AJ$508,(5+$AE$1),0)</f>
        <v>95.819739999999996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Roletový profil E23 bříza</v>
      </c>
      <c r="AC113" s="91">
        <f t="shared" si="29"/>
        <v>104.8043</v>
      </c>
      <c r="AD113" s="91">
        <f t="shared" si="30"/>
        <v>104.8043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Roletový profil E23 buk</v>
      </c>
      <c r="AC114" s="91">
        <f t="shared" si="29"/>
        <v>104.8043</v>
      </c>
      <c r="AD114" s="91">
        <f t="shared" si="30"/>
        <v>104.8043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91.18235</v>
      </c>
      <c r="G115" s="24"/>
      <c r="Z115">
        <v>65</v>
      </c>
      <c r="AA115" s="90" t="s">
        <v>530</v>
      </c>
      <c r="AB115" s="179" t="str">
        <f t="shared" si="28"/>
        <v>Roletový profil E23 calvados</v>
      </c>
      <c r="AC115" s="91">
        <f t="shared" si="29"/>
        <v>82.935789999999997</v>
      </c>
      <c r="AD115" s="91">
        <f t="shared" si="30"/>
        <v>82.935789999999997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Roletový profil E23 černý</v>
      </c>
      <c r="AC116" s="91">
        <f t="shared" si="29"/>
        <v>95.819739999999996</v>
      </c>
      <c r="AD116" s="91">
        <f t="shared" si="30"/>
        <v>95.819739999999996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Roletový profil E23 hliník (plast)</v>
      </c>
      <c r="AC117" s="91">
        <f t="shared" si="29"/>
        <v>104.8043</v>
      </c>
      <c r="AD117" s="91">
        <f t="shared" si="30"/>
        <v>104.8043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Roletový profil E23 javor</v>
      </c>
      <c r="AC118" s="91">
        <f t="shared" si="29"/>
        <v>104.8043</v>
      </c>
      <c r="AD118" s="91">
        <f t="shared" si="30"/>
        <v>104.8043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Roletový profil E23 šedý</v>
      </c>
      <c r="AC119" s="91">
        <f t="shared" si="29"/>
        <v>95.819739999999996</v>
      </c>
      <c r="AD119" s="91">
        <f t="shared" si="30"/>
        <v>95.819739999999996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Roletový profil E23 třešeň 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Roletový profil E23 třešeň</v>
      </c>
      <c r="AC121" s="91">
        <f t="shared" si="29"/>
        <v>104.8043</v>
      </c>
      <c r="AD121" s="91">
        <f t="shared" si="30"/>
        <v>104.8043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Roh vodící lišta na šroub tmavě šedý (hliník)</v>
      </c>
      <c r="AC122" s="91">
        <f t="shared" si="29"/>
        <v>29.03265</v>
      </c>
      <c r="AD122" s="91">
        <f t="shared" si="30"/>
        <v>29.03265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Vodicí oblouk 90 ° 8 mm bílý</v>
      </c>
      <c r="AC123" s="91">
        <f t="shared" si="29"/>
        <v>25.99616</v>
      </c>
      <c r="AD123" s="91">
        <f t="shared" si="30"/>
        <v>25.99616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Roh vodící lišta na šroub černý</v>
      </c>
      <c r="AC124" s="91">
        <f t="shared" si="29"/>
        <v>29.03265</v>
      </c>
      <c r="AD124" s="91">
        <f t="shared" si="30"/>
        <v>29.03265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Vodicí oblouk 90 ° 8 mm světle hnědý (buk)</v>
      </c>
      <c r="AC125" s="91">
        <f t="shared" si="29"/>
        <v>25.99616</v>
      </c>
      <c r="AD125" s="91">
        <f t="shared" si="30"/>
        <v>25.99616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Roh vodící lišta na šroub světle hnědý (buk)</v>
      </c>
      <c r="AC126" s="91">
        <f t="shared" si="29"/>
        <v>29.03265</v>
      </c>
      <c r="AD126" s="91">
        <f t="shared" si="30"/>
        <v>29.03265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Roh vodící lišta na šroub béžový (javor)</v>
      </c>
      <c r="AC127" s="91">
        <f t="shared" si="29"/>
        <v>29.03265</v>
      </c>
      <c r="AD127" s="91">
        <f t="shared" si="30"/>
        <v>29.03265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Roh vodící lišta na šroub hnědý (Havana)</v>
      </c>
      <c r="AC128" s="91">
        <f t="shared" si="29"/>
        <v>22.980499999999999</v>
      </c>
      <c r="AD128" s="91">
        <f t="shared" si="30"/>
        <v>22.980499999999999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Roh vodící lišta na šroub hnědý (třešeň)</v>
      </c>
      <c r="AC129" s="91">
        <f t="shared" si="29"/>
        <v>29.03265</v>
      </c>
      <c r="AD129" s="91">
        <f t="shared" si="30"/>
        <v>29.03265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Roh vodící lišta na šroub béžový (bříza)</v>
      </c>
      <c r="AC130" s="91">
        <f t="shared" si="29"/>
        <v>29.03265</v>
      </c>
      <c r="AD130" s="91">
        <f t="shared" si="30"/>
        <v>29.03265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Roh vodící lišta na šroub hnědý (calvados)</v>
      </c>
      <c r="AC131" s="91">
        <f t="shared" si="29"/>
        <v>22.980499999999999</v>
      </c>
      <c r="AD131" s="91">
        <f t="shared" si="30"/>
        <v>22.980499999999999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Vodicí oblouk 90 ° 8 mm šedý</v>
      </c>
      <c r="AC132" s="91">
        <f t="shared" si="29"/>
        <v>25.99616</v>
      </c>
      <c r="AD132" s="91">
        <f t="shared" si="30"/>
        <v>25.99616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Roh vodící lišta na šroub šedý</v>
      </c>
      <c r="AC133" s="91">
        <f t="shared" si="29"/>
        <v>29.03265</v>
      </c>
      <c r="AD133" s="91">
        <f t="shared" si="30"/>
        <v>29.03265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Spojovací profil pro středovou úchytovou lištu</v>
      </c>
      <c r="AC134" s="91">
        <f t="shared" si="29"/>
        <v>63.236220000000003</v>
      </c>
      <c r="AD134" s="91">
        <f t="shared" si="30"/>
        <v>63.236220000000003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Středový doraz Top světle hnědý (buk)</v>
      </c>
      <c r="AC135" s="91">
        <f t="shared" si="29"/>
        <v>10.080159999999999</v>
      </c>
      <c r="AD135" s="91">
        <f t="shared" si="30"/>
        <v>10.080159999999999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Středová úchytová lišta C3 - uni šedá</v>
      </c>
      <c r="AC136" s="91">
        <f t="shared" si="29"/>
        <v>209.5889</v>
      </c>
      <c r="AD136" s="91">
        <f t="shared" si="30"/>
        <v>209.5889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Středová úchytová lišta C3 - uni bílá</v>
      </c>
      <c r="AC137" s="91">
        <f t="shared" si="29"/>
        <v>209.5889</v>
      </c>
      <c r="AD137" s="91">
        <f t="shared" si="30"/>
        <v>209.5889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Středová úchytová lišta C3 - dekor buk</v>
      </c>
      <c r="AC138" s="91">
        <f t="shared" si="29"/>
        <v>293.14830999999998</v>
      </c>
      <c r="AD138" s="91">
        <f t="shared" si="30"/>
        <v>293.14830999999998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Středová úchytová lišta C3 - uni černá</v>
      </c>
      <c r="AC139" s="91">
        <f t="shared" si="29"/>
        <v>209.5889</v>
      </c>
      <c r="AD139" s="91">
        <f t="shared" si="30"/>
        <v>209.5889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Středová úchytová lišta C3 Alu s adaptérem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Středová úchytová lišta C3 s adaptérem nerez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Středová úchytová lišta C3 hliník (plast)</v>
      </c>
      <c r="AC142" s="91">
        <f t="shared" si="29"/>
        <v>293.14830999999998</v>
      </c>
      <c r="AD142" s="91">
        <f t="shared" si="30"/>
        <v>293.14830999999998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Středový doraz 8 mm bílý</v>
      </c>
      <c r="AC143" s="91">
        <f t="shared" si="29"/>
        <v>12.600339999999999</v>
      </c>
      <c r="AD143" s="91">
        <f t="shared" si="30"/>
        <v>12.600339999999999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Středový doraz 8 mm černý</v>
      </c>
      <c r="AC144" s="91">
        <f t="shared" ref="AC144:AC175" si="32">$AB$1*AD144</f>
        <v>12.600339999999999</v>
      </c>
      <c r="AD144" s="91">
        <f t="shared" ref="AD144:AD175" si="33">VLOOKUP(AA144,$Z$246:$AJ$508,(5+$AE$1),0)</f>
        <v>12.600339999999999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Středový doraz 8 mm světle hnědý (buk)</v>
      </c>
      <c r="AC145" s="91">
        <f t="shared" si="32"/>
        <v>12.600339999999999</v>
      </c>
      <c r="AD145" s="91">
        <f t="shared" si="33"/>
        <v>12.600339999999999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Středový doraz 8 mm šedý</v>
      </c>
      <c r="AC146" s="91">
        <f t="shared" si="32"/>
        <v>12.600339999999999</v>
      </c>
      <c r="AD146" s="91">
        <f t="shared" si="33"/>
        <v>12.600339999999999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Středový doraz Top světle šedý (hliník)</v>
      </c>
      <c r="AC147" s="91">
        <f t="shared" si="32"/>
        <v>10.080159999999999</v>
      </c>
      <c r="AD147" s="91">
        <f t="shared" si="33"/>
        <v>10.080159999999999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Středový doraz Top bílý</v>
      </c>
      <c r="AC148" s="91">
        <f t="shared" si="32"/>
        <v>10.080159999999999</v>
      </c>
      <c r="AD148" s="91">
        <f t="shared" si="33"/>
        <v>10.080159999999999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Středový doraz Top černý</v>
      </c>
      <c r="AC149" s="91">
        <f t="shared" si="32"/>
        <v>10.080159999999999</v>
      </c>
      <c r="AD149" s="91">
        <f t="shared" si="33"/>
        <v>10.080159999999999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Středový doraz Top světle šedý (hliník)</v>
      </c>
      <c r="AC150" s="91">
        <f t="shared" si="32"/>
        <v>10.080159999999999</v>
      </c>
      <c r="AD150" s="91">
        <f t="shared" si="33"/>
        <v>10.080159999999999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Středový doraz Top béžový (javor)</v>
      </c>
      <c r="AC151" s="91">
        <f t="shared" si="32"/>
        <v>10.080159999999999</v>
      </c>
      <c r="AD151" s="91">
        <f t="shared" si="33"/>
        <v>10.080159999999999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Středový doraz Top šedý</v>
      </c>
      <c r="AC152" s="91">
        <f t="shared" si="32"/>
        <v>10.080159999999999</v>
      </c>
      <c r="AD152" s="91">
        <f t="shared" si="33"/>
        <v>10.080159999999999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Středový doraz Top hnědý (třešeň)</v>
      </c>
      <c r="AC153" s="91">
        <f t="shared" si="32"/>
        <v>10.080159999999999</v>
      </c>
      <c r="AD153" s="91">
        <f t="shared" si="33"/>
        <v>10.080159999999999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Vodicí lišta na šroub béžová (bříza)</v>
      </c>
      <c r="AC154" s="91">
        <f t="shared" si="32"/>
        <v>101.91293</v>
      </c>
      <c r="AD154" s="91">
        <f t="shared" si="33"/>
        <v>101.91293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Vodící lišta 29 mm MetAL line Alu 230L</v>
      </c>
      <c r="AC155" s="91">
        <f t="shared" si="32"/>
        <v>849.18970000000002</v>
      </c>
      <c r="AD155" s="91">
        <f t="shared" si="33"/>
        <v>849.18970000000002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Vodící lišta 29 mm MetAL line nerez 360L</v>
      </c>
      <c r="AC156" s="91">
        <f t="shared" si="32"/>
        <v>934.85699</v>
      </c>
      <c r="AD156" s="91">
        <f t="shared" si="33"/>
        <v>934.85699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Vodicí lišta na šroub tmavě šedá (hliník)</v>
      </c>
      <c r="AC157" s="91">
        <f t="shared" si="32"/>
        <v>101.91293</v>
      </c>
      <c r="AD157" s="91">
        <f t="shared" si="33"/>
        <v>101.91293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Vodicí lišta 8 mm na zafrézování bílá</v>
      </c>
      <c r="AC158" s="91">
        <f t="shared" si="32"/>
        <v>48.397410000000001</v>
      </c>
      <c r="AD158" s="91">
        <f t="shared" si="33"/>
        <v>48.397410000000001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Vodicí lišta na šroub bílá</v>
      </c>
      <c r="AC159" s="91">
        <f t="shared" si="32"/>
        <v>101.91293</v>
      </c>
      <c r="AD159" s="91">
        <f t="shared" si="33"/>
        <v>101.91293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Vodicí lišta 8 mm na zafrézování černá</v>
      </c>
      <c r="AC160" s="91">
        <f t="shared" si="32"/>
        <v>48.395769999999999</v>
      </c>
      <c r="AD160" s="91">
        <f t="shared" si="33"/>
        <v>48.395769999999999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Vodicí lišta na šroub černá</v>
      </c>
      <c r="AC161" s="91">
        <f t="shared" si="32"/>
        <v>101.91293</v>
      </c>
      <c r="AD161" s="91">
        <f t="shared" si="33"/>
        <v>101.91293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Vodicí lišta Frame spodní díl Alu 230L</v>
      </c>
      <c r="AC162" s="91">
        <f t="shared" si="32"/>
        <v>540.54475000000002</v>
      </c>
      <c r="AD162" s="91">
        <f t="shared" si="33"/>
        <v>540.54475000000002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Vodicí lišta 8 mm na zafrézování světle hnědý buk</v>
      </c>
      <c r="AC163" s="91">
        <f t="shared" si="32"/>
        <v>48.395769999999999</v>
      </c>
      <c r="AD163" s="91">
        <f t="shared" si="33"/>
        <v>48.395769999999999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Vodicí lišta na šroub světle hnědá (buk)</v>
      </c>
      <c r="AC164" s="91">
        <f t="shared" si="32"/>
        <v>101.91293</v>
      </c>
      <c r="AD164" s="91">
        <f t="shared" si="33"/>
        <v>101.91293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Vodicí lišta na šroub hnědá (calvados)</v>
      </c>
      <c r="AC165" s="91">
        <f t="shared" si="32"/>
        <v>80.64667</v>
      </c>
      <c r="AD165" s="91">
        <f t="shared" si="33"/>
        <v>80.64667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Vodicí lišta na šroub béžová (javor)</v>
      </c>
      <c r="AC166" s="91">
        <f t="shared" si="32"/>
        <v>101.91293</v>
      </c>
      <c r="AD166" s="91">
        <f t="shared" si="33"/>
        <v>101.91293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Vodicí lišta na šroub hnědá (Havana)</v>
      </c>
      <c r="AC167" s="91">
        <f t="shared" si="32"/>
        <v>80.64667</v>
      </c>
      <c r="AD167" s="91">
        <f t="shared" si="33"/>
        <v>80.64667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Vodicí lišta na šroub hnědá (třešeň)</v>
      </c>
      <c r="AC168" s="91">
        <f t="shared" si="32"/>
        <v>101.91293</v>
      </c>
      <c r="AD168" s="91">
        <f t="shared" si="33"/>
        <v>101.91293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Vodicí lišta 8 mm na zafrézování šedá</v>
      </c>
      <c r="AC169" s="91">
        <f t="shared" si="32"/>
        <v>48.395769999999999</v>
      </c>
      <c r="AD169" s="91">
        <f t="shared" si="33"/>
        <v>48.395769999999999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Vodicí lišta na šroub šedá</v>
      </c>
      <c r="AC170" s="91">
        <f t="shared" si="32"/>
        <v>101.91293</v>
      </c>
      <c r="AD170" s="91">
        <f t="shared" si="33"/>
        <v>101.91293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Vodicí lišta Top spodní díl Alu 230L</v>
      </c>
      <c r="AC171" s="358">
        <f t="shared" si="32"/>
        <v>326.22266000000002</v>
      </c>
      <c r="AD171" s="358">
        <f t="shared" si="33"/>
        <v>326.22266000000002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Vodicí šnek 8 mm, kapacita 1280 mm černý</v>
      </c>
      <c r="AC172" s="91">
        <f t="shared" si="32"/>
        <v>203.32050000000001</v>
      </c>
      <c r="AD172" s="91">
        <f t="shared" si="33"/>
        <v>203.32050000000001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Vodicí šnek 8 mm, kapacita 1280 mm šedý</v>
      </c>
      <c r="AC173" s="91">
        <f t="shared" si="32"/>
        <v>203.32050000000001</v>
      </c>
      <c r="AD173" s="91">
        <f t="shared" si="33"/>
        <v>203.32050000000001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Vodicí šnek 8 mm, kapacita 670 mm černý</v>
      </c>
      <c r="AC174" s="91">
        <f t="shared" si="32"/>
        <v>152.06783999999999</v>
      </c>
      <c r="AD174" s="91">
        <f t="shared" si="33"/>
        <v>152.06783999999999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Vodicí šnek 8 mm, kapacita 1590 mm černý</v>
      </c>
      <c r="AC176" s="91">
        <f t="shared" ref="AC176:AC205" si="34">$AB$1*AD176</f>
        <v>252.14331999999999</v>
      </c>
      <c r="AD176" s="91">
        <f t="shared" ref="AD176:AD198" si="35">VLOOKUP(AA176,$Z$246:$AJ$508,(5+$AE$1),0)</f>
        <v>252.14331999999999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Vodicí šnek Top/Frame, kapacita 1240 mm</v>
      </c>
      <c r="AC177" s="91">
        <f t="shared" si="34"/>
        <v>197.81970999999999</v>
      </c>
      <c r="AD177" s="91">
        <f t="shared" si="35"/>
        <v>197.81970999999999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Vodicí lišta 15,5 mm vertikální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Vyvažovací mechanika C3 - 600 mm</v>
      </c>
      <c r="AC181" s="91">
        <f t="shared" si="34"/>
        <v>3068.7211400000001</v>
      </c>
      <c r="AD181" s="91">
        <f t="shared" si="35"/>
        <v>3068.7211400000001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Vyvažovací mechanika C3 - 800 mm</v>
      </c>
      <c r="AC182" s="91">
        <f t="shared" si="34"/>
        <v>3244.9143199999999</v>
      </c>
      <c r="AD182" s="91">
        <f t="shared" si="35"/>
        <v>3244.9143199999999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Vyvažovací mechanika C3 - 1000 mm</v>
      </c>
      <c r="AC183" s="91">
        <f t="shared" si="34"/>
        <v>3390.1131300000002</v>
      </c>
      <c r="AD183" s="91">
        <f t="shared" si="35"/>
        <v>3390.1131300000002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Vyvažovací mechanika C3 - 1200 mm</v>
      </c>
      <c r="AC184" s="91">
        <f t="shared" si="34"/>
        <v>3505.1552700000002</v>
      </c>
      <c r="AD184" s="91">
        <f t="shared" si="35"/>
        <v>3505.1552700000002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Vyvažovací mechanika C3 - 400 mm</v>
      </c>
      <c r="AC185" s="91">
        <f t="shared" si="34"/>
        <v>3084.3579399999999</v>
      </c>
      <c r="AD185" s="91">
        <f t="shared" si="35"/>
        <v>3084.3579399999999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Navíjecí mechanika C6</v>
      </c>
      <c r="AC186" s="91">
        <f t="shared" si="34"/>
        <v>367.85561999999999</v>
      </c>
      <c r="AD186" s="91">
        <f t="shared" si="35"/>
        <v>367.85561999999999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Koncovky Frame bílé</v>
      </c>
      <c r="AC188" s="91">
        <f t="shared" si="34"/>
        <v>138.55318</v>
      </c>
      <c r="AD188" s="91">
        <f t="shared" si="35"/>
        <v>138.55318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Koncovky Frame světle hnědé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Koncovky Frame černé</v>
      </c>
      <c r="AC191" s="91">
        <f t="shared" si="34"/>
        <v>138.55318</v>
      </c>
      <c r="AD191" s="91">
        <f t="shared" si="35"/>
        <v>138.55318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Koncovky Frame béžové (javor)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Koncovky Frame světle šedé</v>
      </c>
      <c r="AC194" s="91">
        <f t="shared" si="34"/>
        <v>138.55318</v>
      </c>
      <c r="AD194" s="91">
        <f t="shared" si="35"/>
        <v>138.55318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Koncovky Frame tmavě šedé (hliník)</v>
      </c>
      <c r="AC195" s="91">
        <f t="shared" si="34"/>
        <v>138.55318</v>
      </c>
      <c r="AD195" s="91">
        <f t="shared" si="35"/>
        <v>138.55318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Koncovka pro vodicí lištu R92845 levá</v>
      </c>
      <c r="AC197" s="91">
        <f t="shared" si="34"/>
        <v>15.49718</v>
      </c>
      <c r="AD197" s="91">
        <f t="shared" si="35"/>
        <v>15.49718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Koncovka pro vodicí lištu R92846 levá</v>
      </c>
      <c r="AC198" s="91">
        <f t="shared" si="34"/>
        <v>15.49718</v>
      </c>
      <c r="AD198" s="91">
        <f t="shared" si="35"/>
        <v>15.49718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Nelze použít mech. C3!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Roletový profil E4 hliník (plast)</v>
      </c>
      <c r="AC201" s="91">
        <f t="shared" si="34"/>
        <v>128.13247000000001</v>
      </c>
      <c r="AD201" s="91">
        <f t="shared" ref="AD201:AD204" si="38">VLOOKUP(AA201,$Z$246:$AJ$508,(5+$AE$1),0)</f>
        <v>128.13247000000001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Vodicí lišta 12 mm na zafrézování šedá</v>
      </c>
      <c r="AC202" s="91">
        <f t="shared" si="34"/>
        <v>61.587389999999999</v>
      </c>
      <c r="AD202" s="91">
        <f t="shared" si="38"/>
        <v>61.587389999999999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Vodicí oblouk 90 ° - 12 mm šedý</v>
      </c>
      <c r="AC203" s="91">
        <f t="shared" si="34"/>
        <v>25.99616</v>
      </c>
      <c r="AD203" s="91">
        <f t="shared" si="38"/>
        <v>25.99616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Kluzný kolík 12 mm šedý</v>
      </c>
      <c r="AC204" s="91">
        <f t="shared" si="34"/>
        <v>45.38888</v>
      </c>
      <c r="AD204" s="91">
        <f t="shared" si="38"/>
        <v>45.38888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Roletový profil E9 zářivě bílý</v>
      </c>
      <c r="AC205" s="91">
        <f t="shared" si="34"/>
        <v>78.012069999999994</v>
      </c>
      <c r="AD205" s="91">
        <f t="shared" ref="AD205" si="40">VLOOKUP(AA205,$Z$246:$AJ$508,(5+$AE$1),0)</f>
        <v>78.012069999999994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Středová úchytová lišta zářivě bílá</v>
      </c>
      <c r="AC206" s="91">
        <f t="shared" ref="AC206:AC208" si="41">$AB$1*AD206</f>
        <v>209.5889</v>
      </c>
      <c r="AD206" s="91">
        <f t="shared" ref="AD206:AD210" si="42">VLOOKUP(AA206,$Z$246:$AJ$508,(5+$AE$1),0)</f>
        <v>209.5889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Koncová lišta zářivě bílá</v>
      </c>
      <c r="AC207" s="91">
        <f t="shared" si="41"/>
        <v>417.64204999999998</v>
      </c>
      <c r="AD207" s="91">
        <f t="shared" si="42"/>
        <v>417.64204999999998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Krycí lišta uni zářivě bílá</v>
      </c>
      <c r="AC208" s="91">
        <f t="shared" si="41"/>
        <v>226.929</v>
      </c>
      <c r="AD208" s="91">
        <f t="shared" si="42"/>
        <v>226.929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Krycí profil Top zářivě bílý</v>
      </c>
      <c r="AC209" s="91">
        <f t="shared" ref="AC209:AC240" si="43">$AB$1*AD209</f>
        <v>92.396720000000002</v>
      </c>
      <c r="AD209" s="94">
        <f t="shared" si="42"/>
        <v>92.396720000000002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Kluzný kolík 8 mm bílý RAL9010 pro koncovou lištu E9</v>
      </c>
      <c r="AC210" s="91">
        <f t="shared" si="43"/>
        <v>42.24727</v>
      </c>
      <c r="AD210" s="94">
        <f t="shared" si="42"/>
        <v>42.24727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Vodicí oblouk 90 ° Top/Frame</v>
      </c>
      <c r="AC211" s="91">
        <f t="shared" si="43"/>
        <v>33.088560000000001</v>
      </c>
      <c r="AD211" s="91">
        <f>VLOOKUP(AA211,$Z$246:$AJ$508,(5+$AE$1),0)</f>
        <v>33.088560000000001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Roh vodící lišty na šroub bílý</v>
      </c>
      <c r="AC220" s="91">
        <f t="shared" si="43"/>
        <v>29.03265</v>
      </c>
      <c r="AD220" s="91">
        <f>VLOOKUP(AA220,$Z$246:$AJ$508,(5+$AE$1),0)</f>
        <v>29.03265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Vodicí oblouk 90 ° 8 mm černý</v>
      </c>
      <c r="AC221" s="91">
        <f t="shared" si="43"/>
        <v>25.99616</v>
      </c>
      <c r="AD221" s="91">
        <f>VLOOKUP(AA221,$Z$246:$AJ$508,(5+$AE$1),0)</f>
        <v>25.99616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Krycí profil Top třešeň havana</v>
      </c>
      <c r="AC222" s="92">
        <f t="shared" si="43"/>
        <v>95.650009999999995</v>
      </c>
      <c r="AD222" s="91">
        <f>VLOOKUP(AA222,$Z$246:$AJ$508,(5+$AE$1),0)</f>
        <v>95.650009999999995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Krycí profil Top calvados</v>
      </c>
      <c r="AC223" s="92">
        <f t="shared" si="43"/>
        <v>95.650009999999995</v>
      </c>
      <c r="AD223" s="91">
        <f>VLOOKUP(AA223,$Z$246:$AJ$508,(5+$AE$1),0)</f>
        <v>95.650009999999995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Krycí profil Top nerez 360L</v>
      </c>
      <c r="AC224" s="92">
        <f t="shared" si="43"/>
        <v>457.0412</v>
      </c>
      <c r="AD224" s="91">
        <f>VLOOKUP(AA224,$Z$246:$AJ$508,(5+$AE$1),0)</f>
        <v>457.0412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Koncová lišta Alu Kombi nerez 360L</v>
      </c>
      <c r="AC231" s="91">
        <f t="shared" si="43"/>
        <v>1115.81131</v>
      </c>
      <c r="AD231" s="91">
        <f t="shared" ref="AD231:AD237" si="45">VLOOKUP(AA231,$Z$246:$AJ$508,(5+$AE$1),0)</f>
        <v>1115.81131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Krycí lišta nerez (profil L) nerez 360L</v>
      </c>
      <c r="AC232" s="91">
        <f t="shared" si="43"/>
        <v>780.10965999999996</v>
      </c>
      <c r="AD232" s="91">
        <f t="shared" si="45"/>
        <v>780.10965999999996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Krycí profil Frame nerez 360L</v>
      </c>
      <c r="AC233" s="91">
        <f t="shared" si="43"/>
        <v>572.08334000000002</v>
      </c>
      <c r="AD233" s="91">
        <f t="shared" si="45"/>
        <v>572.08334000000002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Přechodka mezi Frame a mechanikou C3 černá</v>
      </c>
      <c r="AC234" s="91">
        <f t="shared" si="43"/>
        <v>39.343299999999999</v>
      </c>
      <c r="AD234" s="91">
        <f t="shared" si="45"/>
        <v>39.343299999999999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Koncovka pro vodicí lištu R92845 pravá</v>
      </c>
      <c r="AC235" s="91">
        <f t="shared" si="43"/>
        <v>15.49718</v>
      </c>
      <c r="AD235" s="91">
        <f t="shared" si="45"/>
        <v>15.49718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Koncovka pro vodicí lištu R92846 pravá</v>
      </c>
      <c r="AC236" s="91">
        <f t="shared" si="43"/>
        <v>15.49718</v>
      </c>
      <c r="AD236" s="91">
        <f t="shared" si="45"/>
        <v>15.49718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Poplatek za přípravu žaluzií</v>
      </c>
      <c r="AC237" s="91">
        <f>AD237</f>
        <v>299</v>
      </c>
      <c r="AD237" s="91">
        <f t="shared" si="45"/>
        <v>299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Lepicí páska 50m role (podlepení žaluzií)</v>
      </c>
      <c r="AC238" s="91">
        <f t="shared" si="43"/>
        <v>830.70477000000005</v>
      </c>
      <c r="AD238" s="91">
        <f>VLOOKUP(AA238,$Z$246:$AJ$508,(5+$AE$1),0)</f>
        <v>830.70477000000005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Lepicí páska k podlepení žaluzií</v>
      </c>
      <c r="AC239" s="91">
        <f t="shared" si="43"/>
        <v>16.614090000000001</v>
      </c>
      <c r="AD239" s="91">
        <f>VLOOKUP(AA239,$Z$246:$AJ$508,(5+$AE$1),0)</f>
        <v>16.614090000000001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SAD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Zarážka 20 mm pro koncovou lištu Alu kombi</v>
      </c>
      <c r="AC242" s="92">
        <f>$AB$1*AD242</f>
        <v>4.2864100000000001</v>
      </c>
      <c r="AD242" s="92">
        <f>VLOOKUP(AA242,$Z$246:$AJ$508,(5+$AE$1),0)</f>
        <v>4.2864100000000001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BM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Roletový profil MetAL line 25 mm hliník 230L</v>
      </c>
      <c r="AC243" s="92">
        <f t="shared" ref="AC243:AC245" si="47">$AB$1*AD243</f>
        <v>124.81787</v>
      </c>
      <c r="AD243" s="92">
        <f t="shared" ref="AD243:AD245" si="48">VLOOKUP(AA243,$Z$246:$AJ$508,(5+$AE$1),0)</f>
        <v>124.81787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Roletový profil MetAL line 25 mm nerez 360L</v>
      </c>
      <c r="AC244" s="92">
        <f t="shared" si="47"/>
        <v>134.43099000000001</v>
      </c>
      <c r="AD244" s="92">
        <f t="shared" si="48"/>
        <v>134.43099000000001</v>
      </c>
      <c r="AK244">
        <v>1</v>
      </c>
      <c r="AM244" s="172" t="s">
        <v>767</v>
      </c>
      <c r="AN244" t="s">
        <v>643</v>
      </c>
      <c r="AO244" t="str">
        <f>Překlady!A111</f>
        <v>KS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Kluzný kolík Metallic-line 25 mm černý</v>
      </c>
      <c r="AC245" s="92">
        <f t="shared" si="47"/>
        <v>15.7753</v>
      </c>
      <c r="AD245" s="92">
        <f t="shared" si="48"/>
        <v>15.7753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BM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BM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BM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BM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KS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BM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BM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BM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BM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BM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BM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BM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BM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BM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BM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BM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BM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KS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BM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BM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BM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BM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BM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BM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BM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BM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BM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BM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KS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KS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KS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KS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KS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KS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KS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KS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KS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KS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KS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KS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BM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BM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BM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BM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BM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BM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BM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BM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BM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BM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BM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BM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BM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BM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BM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BM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BM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BM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BM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BM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SAD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SAD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SAD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SAD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SAD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SAD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KS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KS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KS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KS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KS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KS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KS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KS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BM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BM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BM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BM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BM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BM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BM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BM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BM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BM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KS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KS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KS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KS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KS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KS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KS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KS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KS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KS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BM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BM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BM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KS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KS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KS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KS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KS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KS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BM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BM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BM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BM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BM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BM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BM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BM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BM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BM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BM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BM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BM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BM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BM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BM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BM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BM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BM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BM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BM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BM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BM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BM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BM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BM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BM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BM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BM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BM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BM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BM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BM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BM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BM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BM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BM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BM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BM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BM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BM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BM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BM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BM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BM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BM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KS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KS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KS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KS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BM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BM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KS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KS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KS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KS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KS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KS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KS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SAD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BM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KS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BM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BM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BM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BM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KS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BM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BM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BM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BM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BM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BM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BM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BM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BM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BM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SAD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SAD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SAD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SAD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SAD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  <ds:schemaRef ds:uri="9cacabe1-a925-4c8e-93ad-bc3cc27619b4"/>
    <ds:schemaRef ds:uri="cd5ff2c2-d0f5-469d-bf4e-c27dd00b986b"/>
  </ds:schemaRefs>
</ds:datastoreItem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4930F-74E9-4114-99A2-20382898E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2026-05-04T09:08:39Z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</Properties>
</file>