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kopenec\Documents\KOREKTURY\Konfigurator = = =\Moj_skladacky\"/>
    </mc:Choice>
  </mc:AlternateContent>
  <xr:revisionPtr revIDLastSave="0" documentId="8_{C69C2D62-47A3-476C-ABCC-DD27B8C67090}" xr6:coauthVersionLast="47" xr6:coauthVersionMax="47" xr10:uidLastSave="{00000000-0000-0000-0000-000000000000}"/>
  <workbookProtection workbookAlgorithmName="SHA-512" workbookHashValue="zmWXHi/cLxq5dmeA/tilUjagN9ZoDP0kx0OUJjR297hSvw5yuLvWtyqC3aC8vdA5cnY1TxJWEfe7P59oJUU2Hw==" workbookSaltValue="kEnCv7Gvway56DiN9qZ2ow==" workbookSpinCount="100000" lockStructure="1"/>
  <bookViews>
    <workbookView showHorizontalScroll="0" showVerticalScroll="0" showSheetTabs="0" xWindow="-108" yWindow="-108" windowWidth="23256" windowHeight="12456" tabRatio="796" firstSheet="1" activeTab="1" xr2:uid="{D79D29A8-2C91-4F7C-9A3F-8AF7E23CBBD1}"/>
  </bookViews>
  <sheets>
    <sheet name="NAPOVEDA" sheetId="106" r:id="rId1"/>
    <sheet name="FORM-I" sheetId="83" r:id="rId2"/>
    <sheet name="DATA-WL1" sheetId="98" r:id="rId3"/>
    <sheet name="DATA-WL2" sheetId="126" r:id="rId4"/>
    <sheet name="DATA-WL3" sheetId="127" r:id="rId5"/>
    <sheet name="DATA-WL4" sheetId="129" r:id="rId6"/>
    <sheet name="DATA-WL5" sheetId="128" r:id="rId7"/>
    <sheet name="zoznam-WLL" sheetId="122" r:id="rId8"/>
    <sheet name="OBJ-WLL" sheetId="125" r:id="rId9"/>
    <sheet name="Ceny" sheetId="124" r:id="rId10"/>
    <sheet name="---" sheetId="86" r:id="rId11"/>
    <sheet name="Verzie" sheetId="3" r:id="rId12"/>
  </sheets>
  <definedNames>
    <definedName name="_xlnm._FilterDatabase" localSheetId="8" hidden="1">'OBJ-WLL'!$F$23:$F$43</definedName>
    <definedName name="_xlnm.Print_Area" localSheetId="8">'OBJ-WLL'!$A$5:$M$55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8" i="98" l="1"/>
  <c r="AU47" i="98"/>
  <c r="G96" i="124"/>
  <c r="L96" i="124" s="1"/>
  <c r="G84" i="124"/>
  <c r="L84" i="124" s="1"/>
  <c r="G72" i="124"/>
  <c r="L72" i="124" s="1"/>
  <c r="G67" i="124"/>
  <c r="L67" i="124" s="1"/>
  <c r="G65" i="124"/>
  <c r="L65" i="124" s="1"/>
  <c r="L60" i="124"/>
  <c r="G55" i="124"/>
  <c r="L55" i="124" s="1"/>
  <c r="G54" i="124"/>
  <c r="L54" i="124" s="1"/>
  <c r="G53" i="124"/>
  <c r="L53" i="124" s="1"/>
  <c r="G48" i="124"/>
  <c r="L48" i="124" s="1"/>
  <c r="G43" i="124"/>
  <c r="L43" i="124" s="1"/>
  <c r="G42" i="124"/>
  <c r="L42" i="124" s="1"/>
  <c r="G41" i="124"/>
  <c r="L41" i="124" s="1"/>
  <c r="G40" i="124"/>
  <c r="L40" i="124" s="1"/>
  <c r="G36" i="124"/>
  <c r="L36" i="124" s="1"/>
  <c r="G31" i="124"/>
  <c r="L31" i="124" s="1"/>
  <c r="G30" i="124"/>
  <c r="L30" i="124" s="1"/>
  <c r="G29" i="124"/>
  <c r="L29" i="124" s="1"/>
  <c r="G28" i="124"/>
  <c r="L28" i="124" s="1"/>
  <c r="G24" i="124"/>
  <c r="L24" i="124" s="1"/>
  <c r="G23" i="124"/>
  <c r="L23" i="124" s="1"/>
  <c r="G19" i="124"/>
  <c r="L19" i="124" s="1"/>
  <c r="G18" i="124"/>
  <c r="L18" i="124" s="1"/>
  <c r="G17" i="124"/>
  <c r="L17" i="124" s="1"/>
  <c r="G16" i="124"/>
  <c r="L16" i="124" s="1"/>
  <c r="G12" i="124"/>
  <c r="L12" i="124" s="1"/>
  <c r="G105" i="124"/>
  <c r="L105" i="124" s="1"/>
  <c r="G104" i="124"/>
  <c r="G103" i="124"/>
  <c r="L103" i="124" s="1"/>
  <c r="G102" i="124"/>
  <c r="L102" i="124" s="1"/>
  <c r="G101" i="124"/>
  <c r="L101" i="124" s="1"/>
  <c r="L100" i="124"/>
  <c r="G99" i="124"/>
  <c r="L99" i="124" s="1"/>
  <c r="G98" i="124"/>
  <c r="L98" i="124" s="1"/>
  <c r="G97" i="124"/>
  <c r="L97" i="124" s="1"/>
  <c r="G95" i="124"/>
  <c r="L95" i="124" s="1"/>
  <c r="G94" i="124"/>
  <c r="G93" i="124"/>
  <c r="L93" i="124" s="1"/>
  <c r="G92" i="124"/>
  <c r="G91" i="124"/>
  <c r="G89" i="124"/>
  <c r="L89" i="124" s="1"/>
  <c r="G88" i="124"/>
  <c r="L88" i="124" s="1"/>
  <c r="G87" i="124"/>
  <c r="L87" i="124" s="1"/>
  <c r="G86" i="124"/>
  <c r="L86" i="124" s="1"/>
  <c r="G85" i="124"/>
  <c r="L85" i="124" s="1"/>
  <c r="G83" i="124"/>
  <c r="L83" i="124" s="1"/>
  <c r="G82" i="124"/>
  <c r="L82" i="124" s="1"/>
  <c r="G81" i="124"/>
  <c r="L81" i="124" s="1"/>
  <c r="G80" i="124"/>
  <c r="G79" i="124"/>
  <c r="G78" i="124"/>
  <c r="L77" i="124"/>
  <c r="G76" i="124"/>
  <c r="L76" i="124" s="1"/>
  <c r="G75" i="124"/>
  <c r="L75" i="124" s="1"/>
  <c r="G74" i="124"/>
  <c r="L74" i="124" s="1"/>
  <c r="G73" i="124"/>
  <c r="L73" i="124" s="1"/>
  <c r="G71" i="124"/>
  <c r="L71" i="124" s="1"/>
  <c r="G70" i="124"/>
  <c r="L70" i="124" s="1"/>
  <c r="G69" i="124"/>
  <c r="L69" i="124" s="1"/>
  <c r="G68" i="124"/>
  <c r="L68" i="124" s="1"/>
  <c r="G66" i="124"/>
  <c r="G64" i="124"/>
  <c r="L64" i="124" s="1"/>
  <c r="G63" i="124"/>
  <c r="L63" i="124" s="1"/>
  <c r="G62" i="124"/>
  <c r="L62" i="124" s="1"/>
  <c r="G61" i="124"/>
  <c r="L61" i="124" s="1"/>
  <c r="G59" i="124"/>
  <c r="L59" i="124" s="1"/>
  <c r="G58" i="124"/>
  <c r="L58" i="124" s="1"/>
  <c r="G57" i="124"/>
  <c r="L57" i="124" s="1"/>
  <c r="G56" i="124"/>
  <c r="L56" i="124" s="1"/>
  <c r="G52" i="124"/>
  <c r="L52" i="124" s="1"/>
  <c r="G51" i="124"/>
  <c r="L51" i="124" s="1"/>
  <c r="G50" i="124"/>
  <c r="L50" i="124" s="1"/>
  <c r="G49" i="124"/>
  <c r="L49" i="124" s="1"/>
  <c r="G46" i="124"/>
  <c r="L46" i="124" s="1"/>
  <c r="G45" i="124"/>
  <c r="L45" i="124" s="1"/>
  <c r="G44" i="124"/>
  <c r="L44" i="124" s="1"/>
  <c r="G39" i="124"/>
  <c r="L39" i="124" s="1"/>
  <c r="G38" i="124"/>
  <c r="L38" i="124" s="1"/>
  <c r="G37" i="124"/>
  <c r="L37" i="124" s="1"/>
  <c r="G35" i="124"/>
  <c r="L35" i="124" s="1"/>
  <c r="G34" i="124"/>
  <c r="L34" i="124" s="1"/>
  <c r="G33" i="124"/>
  <c r="L33" i="124" s="1"/>
  <c r="G32" i="124"/>
  <c r="L32" i="124" s="1"/>
  <c r="G27" i="124"/>
  <c r="L27" i="124" s="1"/>
  <c r="G26" i="124"/>
  <c r="L26" i="124" s="1"/>
  <c r="G25" i="124"/>
  <c r="L25" i="124" s="1"/>
  <c r="G22" i="124"/>
  <c r="L22" i="124" s="1"/>
  <c r="G21" i="124"/>
  <c r="L21" i="124" s="1"/>
  <c r="G20" i="124"/>
  <c r="L20" i="124" s="1"/>
  <c r="G15" i="124"/>
  <c r="L15" i="124" s="1"/>
  <c r="G14" i="124"/>
  <c r="L14" i="124" s="1"/>
  <c r="G13" i="124"/>
  <c r="L13" i="124" s="1"/>
  <c r="G11" i="124"/>
  <c r="L11" i="124" s="1"/>
  <c r="C105" i="124"/>
  <c r="C104" i="124"/>
  <c r="C103" i="124"/>
  <c r="C102" i="124"/>
  <c r="C101" i="124"/>
  <c r="C99" i="124"/>
  <c r="C98" i="124"/>
  <c r="C97" i="124"/>
  <c r="C96" i="124"/>
  <c r="C95" i="124"/>
  <c r="C94" i="124"/>
  <c r="C93" i="124"/>
  <c r="C92" i="124"/>
  <c r="C91" i="124"/>
  <c r="C89" i="124"/>
  <c r="C88" i="124"/>
  <c r="C87" i="124"/>
  <c r="C86" i="124"/>
  <c r="C85" i="124"/>
  <c r="C84" i="124"/>
  <c r="C83" i="124"/>
  <c r="C82" i="124"/>
  <c r="C81" i="124"/>
  <c r="C80" i="124"/>
  <c r="C79" i="124"/>
  <c r="C78" i="124"/>
  <c r="C76" i="124"/>
  <c r="C75" i="124"/>
  <c r="C74" i="124"/>
  <c r="C73" i="124"/>
  <c r="C72" i="124"/>
  <c r="C71" i="124"/>
  <c r="C70" i="124"/>
  <c r="C69" i="124"/>
  <c r="C68" i="124"/>
  <c r="C67" i="124"/>
  <c r="C66" i="124"/>
  <c r="C65" i="124"/>
  <c r="C64" i="124"/>
  <c r="C63" i="124"/>
  <c r="C62" i="124"/>
  <c r="C61" i="124"/>
  <c r="C59" i="124"/>
  <c r="C58" i="124"/>
  <c r="C57" i="124"/>
  <c r="C56" i="124"/>
  <c r="C55" i="124"/>
  <c r="C54" i="124"/>
  <c r="C53" i="124"/>
  <c r="C52" i="124"/>
  <c r="C51" i="124"/>
  <c r="C50" i="124"/>
  <c r="C49" i="124"/>
  <c r="C48" i="124"/>
  <c r="C46" i="124"/>
  <c r="C45" i="124"/>
  <c r="C44" i="124"/>
  <c r="C43" i="124"/>
  <c r="C42" i="124"/>
  <c r="C41" i="124"/>
  <c r="C40" i="124"/>
  <c r="C39" i="124"/>
  <c r="C38" i="124"/>
  <c r="C37" i="124"/>
  <c r="C36" i="124"/>
  <c r="C35" i="124"/>
  <c r="C34" i="124"/>
  <c r="C33" i="124"/>
  <c r="C32" i="124"/>
  <c r="C31" i="124"/>
  <c r="C30" i="124"/>
  <c r="C29" i="124"/>
  <c r="C28" i="124"/>
  <c r="C27" i="124"/>
  <c r="C26" i="124"/>
  <c r="C25" i="124"/>
  <c r="C24" i="124"/>
  <c r="C23" i="124"/>
  <c r="C22" i="124"/>
  <c r="C21" i="124"/>
  <c r="C20" i="124"/>
  <c r="C19" i="124"/>
  <c r="C18" i="124"/>
  <c r="C17" i="124"/>
  <c r="C16" i="124"/>
  <c r="C15" i="124"/>
  <c r="C14" i="124"/>
  <c r="C13" i="124"/>
  <c r="C12" i="124"/>
  <c r="C11" i="124"/>
  <c r="N711" i="124"/>
  <c r="N710" i="124"/>
  <c r="N709" i="124"/>
  <c r="N708" i="124"/>
  <c r="N707" i="124"/>
  <c r="N706" i="124"/>
  <c r="N705" i="124"/>
  <c r="N704" i="124"/>
  <c r="N703" i="124"/>
  <c r="N702" i="124"/>
  <c r="N701" i="124"/>
  <c r="N700" i="124"/>
  <c r="N699" i="124"/>
  <c r="N698" i="124"/>
  <c r="N697" i="124"/>
  <c r="N696" i="124"/>
  <c r="N695" i="124"/>
  <c r="N694" i="124"/>
  <c r="N693" i="124"/>
  <c r="N692" i="124"/>
  <c r="N691" i="124"/>
  <c r="N690" i="124"/>
  <c r="N689" i="124"/>
  <c r="N688" i="124"/>
  <c r="N687" i="124"/>
  <c r="N686" i="124"/>
  <c r="N685" i="124"/>
  <c r="N684" i="124"/>
  <c r="N683" i="124"/>
  <c r="N682" i="124"/>
  <c r="N681" i="124"/>
  <c r="N680" i="124"/>
  <c r="N679" i="124"/>
  <c r="N678" i="124"/>
  <c r="N677" i="124"/>
  <c r="N676" i="124"/>
  <c r="N675" i="124"/>
  <c r="N674" i="124"/>
  <c r="N673" i="124"/>
  <c r="N672" i="124"/>
  <c r="N671" i="124"/>
  <c r="N670" i="124"/>
  <c r="N669" i="124"/>
  <c r="N668" i="124"/>
  <c r="N667" i="124"/>
  <c r="N666" i="124"/>
  <c r="N665" i="124"/>
  <c r="N664" i="124"/>
  <c r="N663" i="124"/>
  <c r="N662" i="124"/>
  <c r="N661" i="124"/>
  <c r="N660" i="124"/>
  <c r="N659" i="124"/>
  <c r="N658" i="124"/>
  <c r="N657" i="124"/>
  <c r="N656" i="124"/>
  <c r="N655" i="124"/>
  <c r="N654" i="124"/>
  <c r="N653" i="124"/>
  <c r="N652" i="124"/>
  <c r="N651" i="124"/>
  <c r="N650" i="124"/>
  <c r="N649" i="124"/>
  <c r="N648" i="124"/>
  <c r="N647" i="124"/>
  <c r="N646" i="124"/>
  <c r="N645" i="124"/>
  <c r="N644" i="124"/>
  <c r="N643" i="124"/>
  <c r="N642" i="124"/>
  <c r="N641" i="124"/>
  <c r="N640" i="124"/>
  <c r="N639" i="124"/>
  <c r="N638" i="124"/>
  <c r="N637" i="124"/>
  <c r="N636" i="124"/>
  <c r="N635" i="124"/>
  <c r="N634" i="124"/>
  <c r="N633" i="124"/>
  <c r="N632" i="124"/>
  <c r="N631" i="124"/>
  <c r="N630" i="124"/>
  <c r="N629" i="124"/>
  <c r="N628" i="124"/>
  <c r="N627" i="124"/>
  <c r="N626" i="124"/>
  <c r="N625" i="124"/>
  <c r="N624" i="124"/>
  <c r="N623" i="124"/>
  <c r="N622" i="124"/>
  <c r="N621" i="124"/>
  <c r="N620" i="124"/>
  <c r="N619" i="124"/>
  <c r="N618" i="124"/>
  <c r="N617" i="124"/>
  <c r="N616" i="124"/>
  <c r="N615" i="124"/>
  <c r="N614" i="124"/>
  <c r="N613" i="124"/>
  <c r="N612" i="124"/>
  <c r="N611" i="124"/>
  <c r="N610" i="124"/>
  <c r="N609" i="124"/>
  <c r="N608" i="124"/>
  <c r="N607" i="124"/>
  <c r="N606" i="124"/>
  <c r="N605" i="124"/>
  <c r="N604" i="124"/>
  <c r="N603" i="124"/>
  <c r="N602" i="124"/>
  <c r="N601" i="124"/>
  <c r="N600" i="124"/>
  <c r="N599" i="124"/>
  <c r="N598" i="124"/>
  <c r="N597" i="124"/>
  <c r="N596" i="124"/>
  <c r="N595" i="124"/>
  <c r="N594" i="124"/>
  <c r="N593" i="124"/>
  <c r="N592" i="124"/>
  <c r="N591" i="124"/>
  <c r="N590" i="124"/>
  <c r="N589" i="124"/>
  <c r="N588" i="124"/>
  <c r="N587" i="124"/>
  <c r="N586" i="124"/>
  <c r="N585" i="124"/>
  <c r="N584" i="124"/>
  <c r="N583" i="124"/>
  <c r="N582" i="124"/>
  <c r="N581" i="124"/>
  <c r="N580" i="124"/>
  <c r="N579" i="124"/>
  <c r="N578" i="124"/>
  <c r="N577" i="124"/>
  <c r="N576" i="124"/>
  <c r="N575" i="124"/>
  <c r="N574" i="124"/>
  <c r="N573" i="124"/>
  <c r="N572" i="124"/>
  <c r="N571" i="124"/>
  <c r="N570" i="124"/>
  <c r="N569" i="124"/>
  <c r="N568" i="124"/>
  <c r="N567" i="124"/>
  <c r="N566" i="124"/>
  <c r="N565" i="124"/>
  <c r="N564" i="124"/>
  <c r="N563" i="124"/>
  <c r="N562" i="124"/>
  <c r="N561" i="124"/>
  <c r="N560" i="124"/>
  <c r="N559" i="124"/>
  <c r="N558" i="124"/>
  <c r="N557" i="124"/>
  <c r="N556" i="124"/>
  <c r="N555" i="124"/>
  <c r="N554" i="124"/>
  <c r="N553" i="124"/>
  <c r="N552" i="124"/>
  <c r="N551" i="124"/>
  <c r="N550" i="124"/>
  <c r="N549" i="124"/>
  <c r="N548" i="124"/>
  <c r="N547" i="124"/>
  <c r="N546" i="124"/>
  <c r="N545" i="124"/>
  <c r="N544" i="124"/>
  <c r="N543" i="124"/>
  <c r="N542" i="124"/>
  <c r="N541" i="124"/>
  <c r="N540" i="124"/>
  <c r="N539" i="124"/>
  <c r="N538" i="124"/>
  <c r="N537" i="124"/>
  <c r="N536" i="124"/>
  <c r="N535" i="124"/>
  <c r="N534" i="124"/>
  <c r="N533" i="124"/>
  <c r="N532" i="124"/>
  <c r="N531" i="124"/>
  <c r="N530" i="124"/>
  <c r="N529" i="124"/>
  <c r="N528" i="124"/>
  <c r="N527" i="124"/>
  <c r="N526" i="124"/>
  <c r="N525" i="124"/>
  <c r="N524" i="124"/>
  <c r="N523" i="124"/>
  <c r="N522" i="124"/>
  <c r="N521" i="124"/>
  <c r="N520" i="124"/>
  <c r="N519" i="124"/>
  <c r="N518" i="124"/>
  <c r="N517" i="124"/>
  <c r="N516" i="124"/>
  <c r="N515" i="124"/>
  <c r="N514" i="124"/>
  <c r="N513" i="124"/>
  <c r="N512" i="124"/>
  <c r="N511" i="124"/>
  <c r="N510" i="124"/>
  <c r="N509" i="124"/>
  <c r="N508" i="124"/>
  <c r="N507" i="124"/>
  <c r="N506" i="124"/>
  <c r="N505" i="124"/>
  <c r="N504" i="124"/>
  <c r="N503" i="124"/>
  <c r="N502" i="124"/>
  <c r="N501" i="124"/>
  <c r="N500" i="124"/>
  <c r="N499" i="124"/>
  <c r="N498" i="124"/>
  <c r="N497" i="124"/>
  <c r="N496" i="124"/>
  <c r="N495" i="124"/>
  <c r="N494" i="124"/>
  <c r="N493" i="124"/>
  <c r="N492" i="124"/>
  <c r="N491" i="124"/>
  <c r="N490" i="124"/>
  <c r="N489" i="124"/>
  <c r="N488" i="124"/>
  <c r="N487" i="124"/>
  <c r="N486" i="124"/>
  <c r="N485" i="124"/>
  <c r="N484" i="124"/>
  <c r="N483" i="124"/>
  <c r="N482" i="124"/>
  <c r="N481" i="124"/>
  <c r="N480" i="124"/>
  <c r="N479" i="124"/>
  <c r="N478" i="124"/>
  <c r="N477" i="124"/>
  <c r="N476" i="124"/>
  <c r="N475" i="124"/>
  <c r="N474" i="124"/>
  <c r="N473" i="124"/>
  <c r="N472" i="124"/>
  <c r="N471" i="124"/>
  <c r="N470" i="124"/>
  <c r="N469" i="124"/>
  <c r="N468" i="124"/>
  <c r="N467" i="124"/>
  <c r="N466" i="124"/>
  <c r="N465" i="124"/>
  <c r="N464" i="124"/>
  <c r="N463" i="124"/>
  <c r="N462" i="124"/>
  <c r="N461" i="124"/>
  <c r="N460" i="124"/>
  <c r="N459" i="124"/>
  <c r="N458" i="124"/>
  <c r="N457" i="124"/>
  <c r="N456" i="124"/>
  <c r="N455" i="124"/>
  <c r="N454" i="124"/>
  <c r="N453" i="124"/>
  <c r="N452" i="124"/>
  <c r="N451" i="124"/>
  <c r="N450" i="124"/>
  <c r="N449" i="124"/>
  <c r="N448" i="124"/>
  <c r="N447" i="124"/>
  <c r="N446" i="124"/>
  <c r="N445" i="124"/>
  <c r="N444" i="124"/>
  <c r="N443" i="124"/>
  <c r="N442" i="124"/>
  <c r="N441" i="124"/>
  <c r="N440" i="124"/>
  <c r="N439" i="124"/>
  <c r="N438" i="124"/>
  <c r="N437" i="124"/>
  <c r="N436" i="124"/>
  <c r="N435" i="124"/>
  <c r="N434" i="124"/>
  <c r="N433" i="124"/>
  <c r="N432" i="124"/>
  <c r="N431" i="124"/>
  <c r="N430" i="124"/>
  <c r="N429" i="124"/>
  <c r="N428" i="124"/>
  <c r="N427" i="124"/>
  <c r="N426" i="124"/>
  <c r="N425" i="124"/>
  <c r="N424" i="124"/>
  <c r="N423" i="124"/>
  <c r="N422" i="124"/>
  <c r="N421" i="124"/>
  <c r="N420" i="124"/>
  <c r="N419" i="124"/>
  <c r="N418" i="124"/>
  <c r="N417" i="124"/>
  <c r="N416" i="124"/>
  <c r="N415" i="124"/>
  <c r="N414" i="124"/>
  <c r="N413" i="124"/>
  <c r="N412" i="124"/>
  <c r="N411" i="124"/>
  <c r="N410" i="124"/>
  <c r="N409" i="124"/>
  <c r="N408" i="124"/>
  <c r="N407" i="124"/>
  <c r="N406" i="124"/>
  <c r="N405" i="124"/>
  <c r="N404" i="124"/>
  <c r="N403" i="124"/>
  <c r="N402" i="124"/>
  <c r="N401" i="124"/>
  <c r="N400" i="124"/>
  <c r="N399" i="124"/>
  <c r="N398" i="124"/>
  <c r="N397" i="124"/>
  <c r="N396" i="124"/>
  <c r="N395" i="124"/>
  <c r="N394" i="124"/>
  <c r="N393" i="124"/>
  <c r="N392" i="124"/>
  <c r="N391" i="124"/>
  <c r="N390" i="124"/>
  <c r="N389" i="124"/>
  <c r="N388" i="124"/>
  <c r="N387" i="124"/>
  <c r="N386" i="124"/>
  <c r="N385" i="124"/>
  <c r="N384" i="124"/>
  <c r="N383" i="124"/>
  <c r="N382" i="124"/>
  <c r="N381" i="124"/>
  <c r="N380" i="124"/>
  <c r="N379" i="124"/>
  <c r="N378" i="124"/>
  <c r="N377" i="124"/>
  <c r="N376" i="124"/>
  <c r="N375" i="124"/>
  <c r="N374" i="124"/>
  <c r="N373" i="124"/>
  <c r="N372" i="124"/>
  <c r="N371" i="124"/>
  <c r="N370" i="124"/>
  <c r="N369" i="124"/>
  <c r="N368" i="124"/>
  <c r="N367" i="124"/>
  <c r="N366" i="124"/>
  <c r="N365" i="124"/>
  <c r="N364" i="124"/>
  <c r="N363" i="124"/>
  <c r="N362" i="124"/>
  <c r="N361" i="124"/>
  <c r="N360" i="124"/>
  <c r="N359" i="124"/>
  <c r="N358" i="124"/>
  <c r="N357" i="124"/>
  <c r="N356" i="124"/>
  <c r="N355" i="124"/>
  <c r="N354" i="124"/>
  <c r="N353" i="124"/>
  <c r="N352" i="124"/>
  <c r="N351" i="124"/>
  <c r="N350" i="124"/>
  <c r="N349" i="124"/>
  <c r="N348" i="124"/>
  <c r="N347" i="124"/>
  <c r="N346" i="124"/>
  <c r="N345" i="124"/>
  <c r="N344" i="124"/>
  <c r="N343" i="124"/>
  <c r="N342" i="124"/>
  <c r="N341" i="124"/>
  <c r="N340" i="124"/>
  <c r="N339" i="124"/>
  <c r="N338" i="124"/>
  <c r="N337" i="124"/>
  <c r="N336" i="124"/>
  <c r="N335" i="124"/>
  <c r="N334" i="124"/>
  <c r="N333" i="124"/>
  <c r="N332" i="124"/>
  <c r="N331" i="124"/>
  <c r="N330" i="124"/>
  <c r="N329" i="124"/>
  <c r="N328" i="124"/>
  <c r="N327" i="124"/>
  <c r="N326" i="124"/>
  <c r="N325" i="124"/>
  <c r="N324" i="124"/>
  <c r="N323" i="124"/>
  <c r="N322" i="124"/>
  <c r="N321" i="124"/>
  <c r="N320" i="124"/>
  <c r="N319" i="124"/>
  <c r="N318" i="124"/>
  <c r="N317" i="124"/>
  <c r="N316" i="124"/>
  <c r="N315" i="124"/>
  <c r="N314" i="124"/>
  <c r="N313" i="124"/>
  <c r="N312" i="124"/>
  <c r="N311" i="124"/>
  <c r="N310" i="124"/>
  <c r="N309" i="124"/>
  <c r="N308" i="124"/>
  <c r="N307" i="124"/>
  <c r="N306" i="124"/>
  <c r="N305" i="124"/>
  <c r="N304" i="124"/>
  <c r="N303" i="124"/>
  <c r="N302" i="124"/>
  <c r="N301" i="124"/>
  <c r="N300" i="124"/>
  <c r="N299" i="124"/>
  <c r="N298" i="124"/>
  <c r="N297" i="124"/>
  <c r="N296" i="124"/>
  <c r="N295" i="124"/>
  <c r="N294" i="124"/>
  <c r="N293" i="124"/>
  <c r="N292" i="124"/>
  <c r="N291" i="124"/>
  <c r="N290" i="124"/>
  <c r="N289" i="124"/>
  <c r="N288" i="124"/>
  <c r="N287" i="124"/>
  <c r="N286" i="124"/>
  <c r="N285" i="124"/>
  <c r="N284" i="124"/>
  <c r="N283" i="124"/>
  <c r="N282" i="124"/>
  <c r="N281" i="124"/>
  <c r="N280" i="124"/>
  <c r="N279" i="124"/>
  <c r="N278" i="124"/>
  <c r="N277" i="124"/>
  <c r="N276" i="124"/>
  <c r="N275" i="124"/>
  <c r="N274" i="124"/>
  <c r="N273" i="124"/>
  <c r="N272" i="124"/>
  <c r="N271" i="124"/>
  <c r="N270" i="124"/>
  <c r="N269" i="124"/>
  <c r="N268" i="124"/>
  <c r="N267" i="124"/>
  <c r="N266" i="124"/>
  <c r="N265" i="124"/>
  <c r="N264" i="124"/>
  <c r="N263" i="124"/>
  <c r="N262" i="124"/>
  <c r="N261" i="124"/>
  <c r="N260" i="124"/>
  <c r="N259" i="124"/>
  <c r="N258" i="124"/>
  <c r="N257" i="124"/>
  <c r="N256" i="124"/>
  <c r="N255" i="124"/>
  <c r="N254" i="124"/>
  <c r="N253" i="124"/>
  <c r="N252" i="124"/>
  <c r="N251" i="124"/>
  <c r="N250" i="124"/>
  <c r="N249" i="124"/>
  <c r="N248" i="124"/>
  <c r="N247" i="124"/>
  <c r="N246" i="124"/>
  <c r="N245" i="124"/>
  <c r="N244" i="124"/>
  <c r="N243" i="124"/>
  <c r="N242" i="124"/>
  <c r="N241" i="124"/>
  <c r="N240" i="124"/>
  <c r="N239" i="124"/>
  <c r="N238" i="124"/>
  <c r="N237" i="124"/>
  <c r="N236" i="124"/>
  <c r="N235" i="124"/>
  <c r="N234" i="124"/>
  <c r="N233" i="124"/>
  <c r="N232" i="124"/>
  <c r="N231" i="124"/>
  <c r="N230" i="124"/>
  <c r="N229" i="124"/>
  <c r="N228" i="124"/>
  <c r="N227" i="124"/>
  <c r="N226" i="124"/>
  <c r="N225" i="124"/>
  <c r="N224" i="124"/>
  <c r="N223" i="124"/>
  <c r="N222" i="124"/>
  <c r="N221" i="124"/>
  <c r="N220" i="124"/>
  <c r="N219" i="124"/>
  <c r="N218" i="124"/>
  <c r="N217" i="124"/>
  <c r="N216" i="124"/>
  <c r="N215" i="124"/>
  <c r="N214" i="124"/>
  <c r="N213" i="124"/>
  <c r="N212" i="124"/>
  <c r="N211" i="124"/>
  <c r="N210" i="124"/>
  <c r="N209" i="124"/>
  <c r="N208" i="124"/>
  <c r="N207" i="124"/>
  <c r="N206" i="124"/>
  <c r="N205" i="124"/>
  <c r="N204" i="124"/>
  <c r="N203" i="124"/>
  <c r="N202" i="124"/>
  <c r="N201" i="124"/>
  <c r="N200" i="124"/>
  <c r="N199" i="124"/>
  <c r="N198" i="124"/>
  <c r="N197" i="124"/>
  <c r="N196" i="124"/>
  <c r="N195" i="124"/>
  <c r="N194" i="124"/>
  <c r="N193" i="124"/>
  <c r="N192" i="124"/>
  <c r="N191" i="124"/>
  <c r="N190" i="124"/>
  <c r="N189" i="124"/>
  <c r="N188" i="124"/>
  <c r="N187" i="124"/>
  <c r="N186" i="124"/>
  <c r="N185" i="124"/>
  <c r="N184" i="124"/>
  <c r="N183" i="124"/>
  <c r="N182" i="124"/>
  <c r="N181" i="124"/>
  <c r="N180" i="124"/>
  <c r="N179" i="124"/>
  <c r="N178" i="124"/>
  <c r="N177" i="124"/>
  <c r="N176" i="124"/>
  <c r="N175" i="124"/>
  <c r="N174" i="124"/>
  <c r="N173" i="124"/>
  <c r="N172" i="124"/>
  <c r="N171" i="124"/>
  <c r="N170" i="124"/>
  <c r="N169" i="124"/>
  <c r="N168" i="124"/>
  <c r="N167" i="124"/>
  <c r="N166" i="124"/>
  <c r="N165" i="124"/>
  <c r="N164" i="124"/>
  <c r="N163" i="124"/>
  <c r="N162" i="124"/>
  <c r="N161" i="124"/>
  <c r="N160" i="124"/>
  <c r="N159" i="124"/>
  <c r="N158" i="124"/>
  <c r="N157" i="124"/>
  <c r="N156" i="124"/>
  <c r="N155" i="124"/>
  <c r="N154" i="124"/>
  <c r="N153" i="124"/>
  <c r="N152" i="124"/>
  <c r="N151" i="124"/>
  <c r="N150" i="124"/>
  <c r="N149" i="124"/>
  <c r="N148" i="124"/>
  <c r="N147" i="124"/>
  <c r="N146" i="124"/>
  <c r="N145" i="124"/>
  <c r="N144" i="124"/>
  <c r="N143" i="124"/>
  <c r="N142" i="124"/>
  <c r="N141" i="124"/>
  <c r="N140" i="124"/>
  <c r="N139" i="124"/>
  <c r="N138" i="124"/>
  <c r="N137" i="124"/>
  <c r="N136" i="124"/>
  <c r="N135" i="124"/>
  <c r="N134" i="124"/>
  <c r="N133" i="124"/>
  <c r="N132" i="124"/>
  <c r="N131" i="124"/>
  <c r="N130" i="124"/>
  <c r="N129" i="124"/>
  <c r="N128" i="124"/>
  <c r="N127" i="124"/>
  <c r="N126" i="124"/>
  <c r="N125" i="124"/>
  <c r="N124" i="124"/>
  <c r="N123" i="124"/>
  <c r="N122" i="124"/>
  <c r="N121" i="124"/>
  <c r="N120" i="124"/>
  <c r="N119" i="124"/>
  <c r="N118" i="124"/>
  <c r="N117" i="124"/>
  <c r="N116" i="124"/>
  <c r="N115" i="124"/>
  <c r="N114" i="124"/>
  <c r="N113" i="124"/>
  <c r="N112" i="124"/>
  <c r="N111" i="124"/>
  <c r="N110" i="124"/>
  <c r="N109" i="124"/>
  <c r="N108" i="124"/>
  <c r="N107" i="124"/>
  <c r="N106" i="124"/>
  <c r="N105" i="124"/>
  <c r="N104" i="124"/>
  <c r="N103" i="124"/>
  <c r="N102" i="124"/>
  <c r="N101" i="124"/>
  <c r="N100" i="124"/>
  <c r="N99" i="124"/>
  <c r="N98" i="124"/>
  <c r="N97" i="124"/>
  <c r="N96" i="124"/>
  <c r="N95" i="124"/>
  <c r="N94" i="124"/>
  <c r="N93" i="124"/>
  <c r="N92" i="124"/>
  <c r="N91" i="124"/>
  <c r="N90" i="124"/>
  <c r="N89" i="124"/>
  <c r="N88" i="124"/>
  <c r="N87" i="124"/>
  <c r="N86" i="124"/>
  <c r="N85" i="124"/>
  <c r="N84" i="124"/>
  <c r="N83" i="124"/>
  <c r="N82" i="124"/>
  <c r="N81" i="124"/>
  <c r="N80" i="124"/>
  <c r="N79" i="124"/>
  <c r="N78" i="124"/>
  <c r="N77" i="124"/>
  <c r="N76" i="124"/>
  <c r="N75" i="124"/>
  <c r="N74" i="124"/>
  <c r="N73" i="124"/>
  <c r="N72" i="124"/>
  <c r="N71" i="124"/>
  <c r="N70" i="124"/>
  <c r="N69" i="124"/>
  <c r="N68" i="124"/>
  <c r="N67" i="124"/>
  <c r="N66" i="124"/>
  <c r="N65" i="124"/>
  <c r="N64" i="124"/>
  <c r="N63" i="124"/>
  <c r="N62" i="124"/>
  <c r="N61" i="124"/>
  <c r="N60" i="124"/>
  <c r="N59" i="124"/>
  <c r="N58" i="124"/>
  <c r="N57" i="124"/>
  <c r="N56" i="124"/>
  <c r="N55" i="124"/>
  <c r="N54" i="124"/>
  <c r="N53" i="124"/>
  <c r="N52" i="124"/>
  <c r="N51" i="124"/>
  <c r="N50" i="124"/>
  <c r="N49" i="124"/>
  <c r="N48" i="124"/>
  <c r="N47" i="124"/>
  <c r="N46" i="124"/>
  <c r="N45" i="124"/>
  <c r="N44" i="124"/>
  <c r="N43" i="124"/>
  <c r="N42" i="124"/>
  <c r="N41" i="124"/>
  <c r="N40" i="124"/>
  <c r="N39" i="124"/>
  <c r="N38" i="124"/>
  <c r="N37" i="124"/>
  <c r="N36" i="124"/>
  <c r="N35" i="124"/>
  <c r="N34" i="124"/>
  <c r="N33" i="124"/>
  <c r="N32" i="124"/>
  <c r="N31" i="124"/>
  <c r="N30" i="124"/>
  <c r="N29" i="124"/>
  <c r="N28" i="124"/>
  <c r="N27" i="124"/>
  <c r="N26" i="124"/>
  <c r="N25" i="124"/>
  <c r="N24" i="124"/>
  <c r="N23" i="124"/>
  <c r="N22" i="124"/>
  <c r="N21" i="124"/>
  <c r="N20" i="124"/>
  <c r="N19" i="124"/>
  <c r="N18" i="124"/>
  <c r="N17" i="124"/>
  <c r="N16" i="124"/>
  <c r="N15" i="124"/>
  <c r="N14" i="124"/>
  <c r="N13" i="124"/>
  <c r="N12" i="124"/>
  <c r="E41" i="3"/>
  <c r="E42" i="3"/>
  <c r="E40" i="3"/>
  <c r="E39" i="3"/>
  <c r="U31" i="98" s="1"/>
  <c r="L1020" i="124"/>
  <c r="L1019" i="124"/>
  <c r="L1018" i="124"/>
  <c r="L1017" i="124"/>
  <c r="L1016" i="124"/>
  <c r="L1015" i="124"/>
  <c r="L1014" i="124"/>
  <c r="L1013" i="124"/>
  <c r="L1012" i="124"/>
  <c r="L1011" i="124"/>
  <c r="L1010" i="124"/>
  <c r="L1009" i="124"/>
  <c r="L1008" i="124"/>
  <c r="L1007" i="124"/>
  <c r="L1006" i="124"/>
  <c r="L1005" i="124"/>
  <c r="L1004" i="124"/>
  <c r="L1003" i="124"/>
  <c r="L1002" i="124"/>
  <c r="L1001" i="124"/>
  <c r="L1000" i="124"/>
  <c r="L999" i="124"/>
  <c r="L998" i="124"/>
  <c r="L997" i="124"/>
  <c r="L996" i="124"/>
  <c r="L995" i="124"/>
  <c r="L994" i="124"/>
  <c r="L993" i="124"/>
  <c r="L992" i="124"/>
  <c r="L991" i="124"/>
  <c r="L990" i="124"/>
  <c r="L989" i="124"/>
  <c r="L988" i="124"/>
  <c r="L987" i="124"/>
  <c r="L986" i="124"/>
  <c r="L985" i="124"/>
  <c r="L984" i="124"/>
  <c r="L983" i="124"/>
  <c r="L982" i="124"/>
  <c r="L981" i="124"/>
  <c r="L980" i="124"/>
  <c r="L979" i="124"/>
  <c r="L978" i="124"/>
  <c r="L977" i="124"/>
  <c r="L976" i="124"/>
  <c r="L975" i="124"/>
  <c r="L974" i="124"/>
  <c r="L973" i="124"/>
  <c r="L972" i="124"/>
  <c r="L971" i="124"/>
  <c r="L970" i="124"/>
  <c r="L969" i="124"/>
  <c r="L968" i="124"/>
  <c r="L967" i="124"/>
  <c r="L966" i="124"/>
  <c r="L965" i="124"/>
  <c r="L964" i="124"/>
  <c r="L963" i="124"/>
  <c r="L962" i="124"/>
  <c r="L961" i="124"/>
  <c r="L960" i="124"/>
  <c r="L959" i="124"/>
  <c r="L958" i="124"/>
  <c r="L957" i="124"/>
  <c r="L956" i="124"/>
  <c r="L955" i="124"/>
  <c r="L954" i="124"/>
  <c r="L953" i="124"/>
  <c r="L952" i="124"/>
  <c r="L951" i="124"/>
  <c r="L950" i="124"/>
  <c r="L949" i="124"/>
  <c r="L948" i="124"/>
  <c r="L947" i="124"/>
  <c r="L946" i="124"/>
  <c r="L945" i="124"/>
  <c r="L944" i="124"/>
  <c r="L943" i="124"/>
  <c r="L942" i="124"/>
  <c r="L941" i="124"/>
  <c r="L940" i="124"/>
  <c r="L939" i="124"/>
  <c r="L938" i="124"/>
  <c r="L937" i="124"/>
  <c r="L936" i="124"/>
  <c r="L935" i="124"/>
  <c r="L934" i="124"/>
  <c r="L933" i="124"/>
  <c r="L932" i="124"/>
  <c r="L931" i="124"/>
  <c r="L930" i="124"/>
  <c r="L929" i="124"/>
  <c r="L928" i="124"/>
  <c r="L927" i="124"/>
  <c r="L926" i="124"/>
  <c r="L925" i="124"/>
  <c r="L924" i="124"/>
  <c r="L923" i="124"/>
  <c r="L922" i="124"/>
  <c r="L921" i="124"/>
  <c r="L920" i="124"/>
  <c r="L919" i="124"/>
  <c r="L918" i="124"/>
  <c r="L917" i="124"/>
  <c r="L916" i="124"/>
  <c r="L915" i="124"/>
  <c r="L914" i="124"/>
  <c r="L913" i="124"/>
  <c r="L912" i="124"/>
  <c r="L911" i="124"/>
  <c r="L910" i="124"/>
  <c r="L909" i="124"/>
  <c r="L908" i="124"/>
  <c r="L907" i="124"/>
  <c r="L906" i="124"/>
  <c r="L905" i="124"/>
  <c r="L904" i="124"/>
  <c r="L903" i="124"/>
  <c r="L902" i="124"/>
  <c r="L901" i="124"/>
  <c r="L900" i="124"/>
  <c r="L899" i="124"/>
  <c r="L898" i="124"/>
  <c r="L897" i="124"/>
  <c r="L896" i="124"/>
  <c r="L895" i="124"/>
  <c r="L894" i="124"/>
  <c r="L893" i="124"/>
  <c r="L892" i="124"/>
  <c r="L891" i="124"/>
  <c r="L890" i="124"/>
  <c r="L889" i="124"/>
  <c r="L888" i="124"/>
  <c r="L887" i="124"/>
  <c r="L886" i="124"/>
  <c r="L885" i="124"/>
  <c r="L884" i="124"/>
  <c r="L883" i="124"/>
  <c r="L882" i="124"/>
  <c r="L881" i="124"/>
  <c r="L880" i="124"/>
  <c r="L879" i="124"/>
  <c r="L878" i="124"/>
  <c r="L877" i="124"/>
  <c r="L876" i="124"/>
  <c r="L875" i="124"/>
  <c r="L874" i="124"/>
  <c r="L873" i="124"/>
  <c r="L872" i="124"/>
  <c r="L871" i="124"/>
  <c r="L870" i="124"/>
  <c r="L869" i="124"/>
  <c r="L868" i="124"/>
  <c r="L867" i="124"/>
  <c r="L866" i="124"/>
  <c r="L865" i="124"/>
  <c r="L864" i="124"/>
  <c r="L863" i="124"/>
  <c r="L862" i="124"/>
  <c r="L861" i="124"/>
  <c r="L860" i="124"/>
  <c r="L859" i="124"/>
  <c r="L858" i="124"/>
  <c r="L857" i="124"/>
  <c r="L856" i="124"/>
  <c r="L855" i="124"/>
  <c r="L854" i="124"/>
  <c r="L853" i="124"/>
  <c r="L852" i="124"/>
  <c r="L851" i="124"/>
  <c r="L850" i="124"/>
  <c r="L849" i="124"/>
  <c r="L848" i="124"/>
  <c r="L847" i="124"/>
  <c r="L846" i="124"/>
  <c r="L845" i="124"/>
  <c r="L844" i="124"/>
  <c r="L843" i="124"/>
  <c r="L842" i="124"/>
  <c r="L841" i="124"/>
  <c r="L840" i="124"/>
  <c r="L839" i="124"/>
  <c r="L838" i="124"/>
  <c r="L837" i="124"/>
  <c r="L836" i="124"/>
  <c r="L835" i="124"/>
  <c r="L834" i="124"/>
  <c r="L833" i="124"/>
  <c r="L832" i="124"/>
  <c r="L831" i="124"/>
  <c r="L830" i="124"/>
  <c r="L829" i="124"/>
  <c r="L828" i="124"/>
  <c r="L827" i="124"/>
  <c r="L826" i="124"/>
  <c r="L825" i="124"/>
  <c r="L824" i="124"/>
  <c r="L823" i="124"/>
  <c r="L822" i="124"/>
  <c r="L821" i="124"/>
  <c r="L820" i="124"/>
  <c r="L819" i="124"/>
  <c r="L818" i="124"/>
  <c r="L817" i="124"/>
  <c r="L816" i="124"/>
  <c r="L815" i="124"/>
  <c r="L814" i="124"/>
  <c r="L813" i="124"/>
  <c r="L812" i="124"/>
  <c r="L811" i="124"/>
  <c r="L810" i="124"/>
  <c r="L809" i="124"/>
  <c r="L808" i="124"/>
  <c r="L807" i="124"/>
  <c r="L806" i="124"/>
  <c r="L805" i="124"/>
  <c r="L804" i="124"/>
  <c r="L803" i="124"/>
  <c r="L802" i="124"/>
  <c r="L801" i="124"/>
  <c r="L800" i="124"/>
  <c r="L799" i="124"/>
  <c r="L798" i="124"/>
  <c r="L797" i="124"/>
  <c r="L796" i="124"/>
  <c r="L795" i="124"/>
  <c r="L794" i="124"/>
  <c r="L793" i="124"/>
  <c r="L792" i="124"/>
  <c r="L791" i="124"/>
  <c r="L790" i="124"/>
  <c r="L789" i="124"/>
  <c r="L788" i="124"/>
  <c r="L787" i="124"/>
  <c r="L786" i="124"/>
  <c r="L785" i="124"/>
  <c r="L784" i="124"/>
  <c r="L783" i="124"/>
  <c r="L782" i="124"/>
  <c r="L781" i="124"/>
  <c r="L780" i="124"/>
  <c r="L779" i="124"/>
  <c r="L778" i="124"/>
  <c r="L777" i="124"/>
  <c r="L776" i="124"/>
  <c r="L775" i="124"/>
  <c r="L774" i="124"/>
  <c r="L773" i="124"/>
  <c r="L772" i="124"/>
  <c r="L771" i="124"/>
  <c r="L770" i="124"/>
  <c r="L769" i="124"/>
  <c r="L768" i="124"/>
  <c r="L767" i="124"/>
  <c r="L766" i="124"/>
  <c r="L765" i="124"/>
  <c r="L764" i="124"/>
  <c r="L763" i="124"/>
  <c r="L762" i="124"/>
  <c r="L761" i="124"/>
  <c r="L760" i="124"/>
  <c r="L759" i="124"/>
  <c r="L758" i="124"/>
  <c r="L757" i="124"/>
  <c r="L756" i="124"/>
  <c r="L755" i="124"/>
  <c r="L754" i="124"/>
  <c r="L753" i="124"/>
  <c r="L752" i="124"/>
  <c r="L751" i="124"/>
  <c r="L750" i="124"/>
  <c r="L749" i="124"/>
  <c r="L748" i="124"/>
  <c r="L747" i="124"/>
  <c r="L746" i="124"/>
  <c r="L745" i="124"/>
  <c r="L744" i="124"/>
  <c r="L743" i="124"/>
  <c r="L742" i="124"/>
  <c r="L741" i="124"/>
  <c r="L740" i="124"/>
  <c r="L739" i="124"/>
  <c r="L738" i="124"/>
  <c r="L737" i="124"/>
  <c r="L736" i="124"/>
  <c r="L735" i="124"/>
  <c r="L734" i="124"/>
  <c r="L733" i="124"/>
  <c r="L732" i="124"/>
  <c r="L731" i="124"/>
  <c r="L730" i="124"/>
  <c r="L729" i="124"/>
  <c r="L728" i="124"/>
  <c r="L727" i="124"/>
  <c r="L726" i="124"/>
  <c r="L725" i="124"/>
  <c r="L724" i="124"/>
  <c r="L723" i="124"/>
  <c r="L722" i="124"/>
  <c r="L721" i="124"/>
  <c r="L720" i="124"/>
  <c r="L719" i="124"/>
  <c r="L718" i="124"/>
  <c r="L717" i="124"/>
  <c r="L716" i="124"/>
  <c r="L715" i="124"/>
  <c r="L714" i="124"/>
  <c r="L713" i="124"/>
  <c r="E141" i="3"/>
  <c r="L10" i="124" s="1"/>
  <c r="L712" i="124"/>
  <c r="L711" i="124"/>
  <c r="L710" i="124"/>
  <c r="L709" i="124"/>
  <c r="L708" i="124"/>
  <c r="L707" i="124"/>
  <c r="L706" i="124"/>
  <c r="L705" i="124"/>
  <c r="L704" i="124"/>
  <c r="L703" i="124"/>
  <c r="L702" i="124"/>
  <c r="L701" i="124"/>
  <c r="L700" i="124"/>
  <c r="L699" i="124"/>
  <c r="L698" i="124"/>
  <c r="L697" i="124"/>
  <c r="L696" i="124"/>
  <c r="L695" i="124"/>
  <c r="L694" i="124"/>
  <c r="L693" i="124"/>
  <c r="L692" i="124"/>
  <c r="L691" i="124"/>
  <c r="L690" i="124"/>
  <c r="L689" i="124"/>
  <c r="L688" i="124"/>
  <c r="L687" i="124"/>
  <c r="L686" i="124"/>
  <c r="L685" i="124"/>
  <c r="L684" i="124"/>
  <c r="L683" i="124"/>
  <c r="L682" i="124"/>
  <c r="L681" i="124"/>
  <c r="L680" i="124"/>
  <c r="L679" i="124"/>
  <c r="L678" i="124"/>
  <c r="L677" i="124"/>
  <c r="L676" i="124"/>
  <c r="L675" i="124"/>
  <c r="L674" i="124"/>
  <c r="L673" i="124"/>
  <c r="L672" i="124"/>
  <c r="L671" i="124"/>
  <c r="L670" i="124"/>
  <c r="L669" i="124"/>
  <c r="L668" i="124"/>
  <c r="L667" i="124"/>
  <c r="L666" i="124"/>
  <c r="L665" i="124"/>
  <c r="L664" i="124"/>
  <c r="L663" i="124"/>
  <c r="L662" i="124"/>
  <c r="L661" i="124"/>
  <c r="L660" i="124"/>
  <c r="L659" i="124"/>
  <c r="L658" i="124"/>
  <c r="L657" i="124"/>
  <c r="L656" i="124"/>
  <c r="L655" i="124"/>
  <c r="L654" i="124"/>
  <c r="L653" i="124"/>
  <c r="L652" i="124"/>
  <c r="L651" i="124"/>
  <c r="L650" i="124"/>
  <c r="L649" i="124"/>
  <c r="L648" i="124"/>
  <c r="L647" i="124"/>
  <c r="L646" i="124"/>
  <c r="L645" i="124"/>
  <c r="L644" i="124"/>
  <c r="L643" i="124"/>
  <c r="L642" i="124"/>
  <c r="L641" i="124"/>
  <c r="L640" i="124"/>
  <c r="L639" i="124"/>
  <c r="L638" i="124"/>
  <c r="L637" i="124"/>
  <c r="L636" i="124"/>
  <c r="L635" i="124"/>
  <c r="L634" i="124"/>
  <c r="L633" i="124"/>
  <c r="L632" i="124"/>
  <c r="L631" i="124"/>
  <c r="L630" i="124"/>
  <c r="L629" i="124"/>
  <c r="L628" i="124"/>
  <c r="L627" i="124"/>
  <c r="L626" i="124"/>
  <c r="L625" i="124"/>
  <c r="L624" i="124"/>
  <c r="L623" i="124"/>
  <c r="L622" i="124"/>
  <c r="L621" i="124"/>
  <c r="L620" i="124"/>
  <c r="L619" i="124"/>
  <c r="L618" i="124"/>
  <c r="L617" i="124"/>
  <c r="L616" i="124"/>
  <c r="L615" i="124"/>
  <c r="L614" i="124"/>
  <c r="L613" i="124"/>
  <c r="L612" i="124"/>
  <c r="L611" i="124"/>
  <c r="L610" i="124"/>
  <c r="L609" i="124"/>
  <c r="L608" i="124"/>
  <c r="L607" i="124"/>
  <c r="L606" i="124"/>
  <c r="L605" i="124"/>
  <c r="L604" i="124"/>
  <c r="L603" i="124"/>
  <c r="L602" i="124"/>
  <c r="L601" i="124"/>
  <c r="L600" i="124"/>
  <c r="L599" i="124"/>
  <c r="L598" i="124"/>
  <c r="L597" i="124"/>
  <c r="L596" i="124"/>
  <c r="L595" i="124"/>
  <c r="L594" i="124"/>
  <c r="L593" i="124"/>
  <c r="L592" i="124"/>
  <c r="L591" i="124"/>
  <c r="L590" i="124"/>
  <c r="L589" i="124"/>
  <c r="L588" i="124"/>
  <c r="L587" i="124"/>
  <c r="L586" i="124"/>
  <c r="L585" i="124"/>
  <c r="L584" i="124"/>
  <c r="L583" i="124"/>
  <c r="L582" i="124"/>
  <c r="L581" i="124"/>
  <c r="L580" i="124"/>
  <c r="L579" i="124"/>
  <c r="L578" i="124"/>
  <c r="L577" i="124"/>
  <c r="L576" i="124"/>
  <c r="L575" i="124"/>
  <c r="L574" i="124"/>
  <c r="L573" i="124"/>
  <c r="L572" i="124"/>
  <c r="L571" i="124"/>
  <c r="L570" i="124"/>
  <c r="L569" i="124"/>
  <c r="L568" i="124"/>
  <c r="L567" i="124"/>
  <c r="L566" i="124"/>
  <c r="L565" i="124"/>
  <c r="L564" i="124"/>
  <c r="L563" i="124"/>
  <c r="L562" i="124"/>
  <c r="L561" i="124"/>
  <c r="L560" i="124"/>
  <c r="L559" i="124"/>
  <c r="L558" i="124"/>
  <c r="L557" i="124"/>
  <c r="L556" i="124"/>
  <c r="L555" i="124"/>
  <c r="L554" i="124"/>
  <c r="L553" i="124"/>
  <c r="L552" i="124"/>
  <c r="L551" i="124"/>
  <c r="L550" i="124"/>
  <c r="L549" i="124"/>
  <c r="L548" i="124"/>
  <c r="L547" i="124"/>
  <c r="L546" i="124"/>
  <c r="L545" i="124"/>
  <c r="L544" i="124"/>
  <c r="L543" i="124"/>
  <c r="L542" i="124"/>
  <c r="L541" i="124"/>
  <c r="L540" i="124"/>
  <c r="L539" i="124"/>
  <c r="L538" i="124"/>
  <c r="L537" i="124"/>
  <c r="L536" i="124"/>
  <c r="L535" i="124"/>
  <c r="L534" i="124"/>
  <c r="L533" i="124"/>
  <c r="L532" i="124"/>
  <c r="L531" i="124"/>
  <c r="L530" i="124"/>
  <c r="L529" i="124"/>
  <c r="L528" i="124"/>
  <c r="L527" i="124"/>
  <c r="L526" i="124"/>
  <c r="L525" i="124"/>
  <c r="L524" i="124"/>
  <c r="L523" i="124"/>
  <c r="L522" i="124"/>
  <c r="L521" i="124"/>
  <c r="L520" i="124"/>
  <c r="L519" i="124"/>
  <c r="L518" i="124"/>
  <c r="L517" i="124"/>
  <c r="L516" i="124"/>
  <c r="L515" i="124"/>
  <c r="L514" i="124"/>
  <c r="L513" i="124"/>
  <c r="L512" i="124"/>
  <c r="L511" i="124"/>
  <c r="L510" i="124"/>
  <c r="L509" i="124"/>
  <c r="L508" i="124"/>
  <c r="L507" i="124"/>
  <c r="L506" i="124"/>
  <c r="L505" i="124"/>
  <c r="L504" i="124"/>
  <c r="L503" i="124"/>
  <c r="L502" i="124"/>
  <c r="L501" i="124"/>
  <c r="L500" i="124"/>
  <c r="L499" i="124"/>
  <c r="L498" i="124"/>
  <c r="L497" i="124"/>
  <c r="L496" i="124"/>
  <c r="L495" i="124"/>
  <c r="L494" i="124"/>
  <c r="L493" i="124"/>
  <c r="L492" i="124"/>
  <c r="L491" i="124"/>
  <c r="L490" i="124"/>
  <c r="L489" i="124"/>
  <c r="L488" i="124"/>
  <c r="L487" i="124"/>
  <c r="L486" i="124"/>
  <c r="L485" i="124"/>
  <c r="L484" i="124"/>
  <c r="L483" i="124"/>
  <c r="L482" i="124"/>
  <c r="L481" i="124"/>
  <c r="L480" i="124"/>
  <c r="L479" i="124"/>
  <c r="L478" i="124"/>
  <c r="L477" i="124"/>
  <c r="L476" i="124"/>
  <c r="L475" i="124"/>
  <c r="L474" i="124"/>
  <c r="L473" i="124"/>
  <c r="L472" i="124"/>
  <c r="L471" i="124"/>
  <c r="L470" i="124"/>
  <c r="L469" i="124"/>
  <c r="L468" i="124"/>
  <c r="L467" i="124"/>
  <c r="L466" i="124"/>
  <c r="L465" i="124"/>
  <c r="L464" i="124"/>
  <c r="L463" i="124"/>
  <c r="L462" i="124"/>
  <c r="L461" i="124"/>
  <c r="L460" i="124"/>
  <c r="L459" i="124"/>
  <c r="L458" i="124"/>
  <c r="L457" i="124"/>
  <c r="L456" i="124"/>
  <c r="L455" i="124"/>
  <c r="L454" i="124"/>
  <c r="L453" i="124"/>
  <c r="L452" i="124"/>
  <c r="L451" i="124"/>
  <c r="L450" i="124"/>
  <c r="L449" i="124"/>
  <c r="L448" i="124"/>
  <c r="L447" i="124"/>
  <c r="L446" i="124"/>
  <c r="L445" i="124"/>
  <c r="L444" i="124"/>
  <c r="L443" i="124"/>
  <c r="L442" i="124"/>
  <c r="L441" i="124"/>
  <c r="L440" i="124"/>
  <c r="L439" i="124"/>
  <c r="L438" i="124"/>
  <c r="L437" i="124"/>
  <c r="L436" i="124"/>
  <c r="L435" i="124"/>
  <c r="L434" i="124"/>
  <c r="L433" i="124"/>
  <c r="L432" i="124"/>
  <c r="L431" i="124"/>
  <c r="L430" i="124"/>
  <c r="L429" i="124"/>
  <c r="L428" i="124"/>
  <c r="L427" i="124"/>
  <c r="L426" i="124"/>
  <c r="L425" i="124"/>
  <c r="L424" i="124"/>
  <c r="L423" i="124"/>
  <c r="L422" i="124"/>
  <c r="L421" i="124"/>
  <c r="L420" i="124"/>
  <c r="L419" i="124"/>
  <c r="L418" i="124"/>
  <c r="L417" i="124"/>
  <c r="L416" i="124"/>
  <c r="L415" i="124"/>
  <c r="L414" i="124"/>
  <c r="L413" i="124"/>
  <c r="L412" i="124"/>
  <c r="L411" i="124"/>
  <c r="L410" i="124"/>
  <c r="L409" i="124"/>
  <c r="L408" i="124"/>
  <c r="L407" i="124"/>
  <c r="L406" i="124"/>
  <c r="L405" i="124"/>
  <c r="L404" i="124"/>
  <c r="L403" i="124"/>
  <c r="L402" i="124"/>
  <c r="L401" i="124"/>
  <c r="L400" i="124"/>
  <c r="L399" i="124"/>
  <c r="L398" i="124"/>
  <c r="L397" i="124"/>
  <c r="L396" i="124"/>
  <c r="L395" i="124"/>
  <c r="L394" i="124"/>
  <c r="L393" i="124"/>
  <c r="L392" i="124"/>
  <c r="L391" i="124"/>
  <c r="L390" i="124"/>
  <c r="L389" i="124"/>
  <c r="L388" i="124"/>
  <c r="L387" i="124"/>
  <c r="L386" i="124"/>
  <c r="L385" i="124"/>
  <c r="L384" i="124"/>
  <c r="L383" i="124"/>
  <c r="L382" i="124"/>
  <c r="L381" i="124"/>
  <c r="L380" i="124"/>
  <c r="L379" i="124"/>
  <c r="L378" i="124"/>
  <c r="L377" i="124"/>
  <c r="L376" i="124"/>
  <c r="L375" i="124"/>
  <c r="L374" i="124"/>
  <c r="L373" i="124"/>
  <c r="L372" i="124"/>
  <c r="L371" i="124"/>
  <c r="L370" i="124"/>
  <c r="L369" i="124"/>
  <c r="L368" i="124"/>
  <c r="L367" i="124"/>
  <c r="L366" i="124"/>
  <c r="L365" i="124"/>
  <c r="L364" i="124"/>
  <c r="L363" i="124"/>
  <c r="L362" i="124"/>
  <c r="L361" i="124"/>
  <c r="L360" i="124"/>
  <c r="L359" i="124"/>
  <c r="L358" i="124"/>
  <c r="L357" i="124"/>
  <c r="L356" i="124"/>
  <c r="L355" i="124"/>
  <c r="L354" i="124"/>
  <c r="L353" i="124"/>
  <c r="L352" i="124"/>
  <c r="L351" i="124"/>
  <c r="L350" i="124"/>
  <c r="L349" i="124"/>
  <c r="L348" i="124"/>
  <c r="L347" i="124"/>
  <c r="L346" i="124"/>
  <c r="L345" i="124"/>
  <c r="L344" i="124"/>
  <c r="L343" i="124"/>
  <c r="L342" i="124"/>
  <c r="L341" i="124"/>
  <c r="L340" i="124"/>
  <c r="L339" i="124"/>
  <c r="L338" i="124"/>
  <c r="L337" i="124"/>
  <c r="L336" i="124"/>
  <c r="L335" i="124"/>
  <c r="L334" i="124"/>
  <c r="L333" i="124"/>
  <c r="L332" i="124"/>
  <c r="L331" i="124"/>
  <c r="L330" i="124"/>
  <c r="L329" i="124"/>
  <c r="L328" i="124"/>
  <c r="L327" i="124"/>
  <c r="L326" i="124"/>
  <c r="L325" i="124"/>
  <c r="L324" i="124"/>
  <c r="L323" i="124"/>
  <c r="L322" i="124"/>
  <c r="L321" i="124"/>
  <c r="L320" i="124"/>
  <c r="L319" i="124"/>
  <c r="L318" i="124"/>
  <c r="L317" i="124"/>
  <c r="L316" i="124"/>
  <c r="L315" i="124"/>
  <c r="L314" i="124"/>
  <c r="L313" i="124"/>
  <c r="L312" i="124"/>
  <c r="L311" i="124"/>
  <c r="L310" i="124"/>
  <c r="L309" i="124"/>
  <c r="L308" i="124"/>
  <c r="L307" i="124"/>
  <c r="L306" i="124"/>
  <c r="L305" i="124"/>
  <c r="L304" i="124"/>
  <c r="L303" i="124"/>
  <c r="L302" i="124"/>
  <c r="L301" i="124"/>
  <c r="L300" i="124"/>
  <c r="L299" i="124"/>
  <c r="L298" i="124"/>
  <c r="L297" i="124"/>
  <c r="L296" i="124"/>
  <c r="L295" i="124"/>
  <c r="L294" i="124"/>
  <c r="L293" i="124"/>
  <c r="L292" i="124"/>
  <c r="L291" i="124"/>
  <c r="L290" i="124"/>
  <c r="L289" i="124"/>
  <c r="L288" i="124"/>
  <c r="L287" i="124"/>
  <c r="L286" i="124"/>
  <c r="L285" i="124"/>
  <c r="L284" i="124"/>
  <c r="L283" i="124"/>
  <c r="L282" i="124"/>
  <c r="L281" i="124"/>
  <c r="L280" i="124"/>
  <c r="L279" i="124"/>
  <c r="L278" i="124"/>
  <c r="L277" i="124"/>
  <c r="L276" i="124"/>
  <c r="L275" i="124"/>
  <c r="L274" i="124"/>
  <c r="L273" i="124"/>
  <c r="L272" i="124"/>
  <c r="L271" i="124"/>
  <c r="L270" i="124"/>
  <c r="L269" i="124"/>
  <c r="L268" i="124"/>
  <c r="L267" i="124"/>
  <c r="L266" i="124"/>
  <c r="L265" i="124"/>
  <c r="L264" i="124"/>
  <c r="L263" i="124"/>
  <c r="L262" i="124"/>
  <c r="L261" i="124"/>
  <c r="L260" i="124"/>
  <c r="L259" i="124"/>
  <c r="L258" i="124"/>
  <c r="L257" i="124"/>
  <c r="L256" i="124"/>
  <c r="L255" i="124"/>
  <c r="L254" i="124"/>
  <c r="L253" i="124"/>
  <c r="L252" i="124"/>
  <c r="L251" i="124"/>
  <c r="L250" i="124"/>
  <c r="L249" i="124"/>
  <c r="L248" i="124"/>
  <c r="L247" i="124"/>
  <c r="L246" i="124"/>
  <c r="L245" i="124"/>
  <c r="L244" i="124"/>
  <c r="L243" i="124"/>
  <c r="L242" i="124"/>
  <c r="L241" i="124"/>
  <c r="L240" i="124"/>
  <c r="L239" i="124"/>
  <c r="L238" i="124"/>
  <c r="L237" i="124"/>
  <c r="L236" i="124"/>
  <c r="L235" i="124"/>
  <c r="L234" i="124"/>
  <c r="L233" i="124"/>
  <c r="L232" i="124"/>
  <c r="L231" i="124"/>
  <c r="L230" i="124"/>
  <c r="L229" i="124"/>
  <c r="L228" i="124"/>
  <c r="L227" i="124"/>
  <c r="L226" i="124"/>
  <c r="L225" i="124"/>
  <c r="L224" i="124"/>
  <c r="L223" i="124"/>
  <c r="L222" i="124"/>
  <c r="L221" i="124"/>
  <c r="L220" i="124"/>
  <c r="L219" i="124"/>
  <c r="L218" i="124"/>
  <c r="L217" i="124"/>
  <c r="L216" i="124"/>
  <c r="L215" i="124"/>
  <c r="L214" i="124"/>
  <c r="L213" i="124"/>
  <c r="L212" i="124"/>
  <c r="L211" i="124"/>
  <c r="L210" i="124"/>
  <c r="L209" i="124"/>
  <c r="L208" i="124"/>
  <c r="L207" i="124"/>
  <c r="L206" i="124"/>
  <c r="L205" i="124"/>
  <c r="L204" i="124"/>
  <c r="L203" i="124"/>
  <c r="L202" i="124"/>
  <c r="L201" i="124"/>
  <c r="L200" i="124"/>
  <c r="L199" i="124"/>
  <c r="L198" i="124"/>
  <c r="L197" i="124"/>
  <c r="L196" i="124"/>
  <c r="L195" i="124"/>
  <c r="L194" i="124"/>
  <c r="L193" i="124"/>
  <c r="L192" i="124"/>
  <c r="L191" i="124"/>
  <c r="L190" i="124"/>
  <c r="L189" i="124"/>
  <c r="L188" i="124"/>
  <c r="L187" i="124"/>
  <c r="L186" i="124"/>
  <c r="L185" i="124"/>
  <c r="L184" i="124"/>
  <c r="L183" i="124"/>
  <c r="L182" i="124"/>
  <c r="L181" i="124"/>
  <c r="L180" i="124"/>
  <c r="L179" i="124"/>
  <c r="L178" i="124"/>
  <c r="L177" i="124"/>
  <c r="L176" i="124"/>
  <c r="L175" i="124"/>
  <c r="L174" i="124"/>
  <c r="L173" i="124"/>
  <c r="L172" i="124"/>
  <c r="L171" i="124"/>
  <c r="L170" i="124"/>
  <c r="L169" i="124"/>
  <c r="L168" i="124"/>
  <c r="L167" i="124"/>
  <c r="L166" i="124"/>
  <c r="L165" i="124"/>
  <c r="L164" i="124"/>
  <c r="L163" i="124"/>
  <c r="L162" i="124"/>
  <c r="L161" i="124"/>
  <c r="L160" i="124"/>
  <c r="L159" i="124"/>
  <c r="L158" i="124"/>
  <c r="L157" i="124"/>
  <c r="L156" i="124"/>
  <c r="L155" i="124"/>
  <c r="L154" i="124"/>
  <c r="L153" i="124"/>
  <c r="L152" i="124"/>
  <c r="L151" i="124"/>
  <c r="L150" i="124"/>
  <c r="L149" i="124"/>
  <c r="L148" i="124"/>
  <c r="L147" i="124"/>
  <c r="L146" i="124"/>
  <c r="L145" i="124"/>
  <c r="L144" i="124"/>
  <c r="L143" i="124"/>
  <c r="L142" i="124"/>
  <c r="L141" i="124"/>
  <c r="L140" i="124"/>
  <c r="L139" i="124"/>
  <c r="L138" i="124"/>
  <c r="L137" i="124"/>
  <c r="L136" i="124"/>
  <c r="L135" i="124"/>
  <c r="L134" i="124"/>
  <c r="L133" i="124"/>
  <c r="L132" i="124"/>
  <c r="L131" i="124"/>
  <c r="L130" i="124"/>
  <c r="L129" i="124"/>
  <c r="L128" i="124"/>
  <c r="L127" i="124"/>
  <c r="L126" i="124"/>
  <c r="L125" i="124"/>
  <c r="L124" i="124"/>
  <c r="L123" i="124"/>
  <c r="L122" i="124"/>
  <c r="L121" i="124"/>
  <c r="L120" i="124"/>
  <c r="L119" i="124"/>
  <c r="L118" i="124"/>
  <c r="L117" i="124"/>
  <c r="L116" i="124"/>
  <c r="L115" i="124"/>
  <c r="L114" i="124"/>
  <c r="L113" i="124"/>
  <c r="L112" i="124"/>
  <c r="L111" i="124"/>
  <c r="L110" i="124"/>
  <c r="L109" i="124"/>
  <c r="L108" i="124"/>
  <c r="L107" i="124"/>
  <c r="L106" i="124"/>
  <c r="L104" i="124"/>
  <c r="L94" i="124"/>
  <c r="L92" i="124"/>
  <c r="L91" i="124"/>
  <c r="L90" i="124"/>
  <c r="L80" i="124"/>
  <c r="L79" i="124"/>
  <c r="L78" i="124"/>
  <c r="L66" i="124"/>
  <c r="L47" i="124"/>
  <c r="H23" i="125" l="1"/>
  <c r="B11" i="125"/>
  <c r="B10" i="125"/>
  <c r="B9" i="125"/>
  <c r="F11" i="125"/>
  <c r="F10" i="125"/>
  <c r="F9" i="125"/>
  <c r="B18" i="125"/>
  <c r="B17" i="125"/>
  <c r="B16" i="125"/>
  <c r="B8" i="125"/>
  <c r="H110" i="124" l="1"/>
  <c r="H109" i="124"/>
  <c r="H108" i="124"/>
  <c r="H107" i="124"/>
  <c r="G93" i="122"/>
  <c r="G92" i="122"/>
  <c r="G91" i="122"/>
  <c r="G90" i="122"/>
  <c r="G89" i="122"/>
  <c r="G88" i="122"/>
  <c r="G87" i="122"/>
  <c r="G86" i="122"/>
  <c r="G85" i="122"/>
  <c r="G84" i="122"/>
  <c r="G83" i="122"/>
  <c r="G82" i="122"/>
  <c r="G81" i="122"/>
  <c r="G80" i="122"/>
  <c r="G79" i="122"/>
  <c r="G78" i="122"/>
  <c r="G77" i="122"/>
  <c r="G76" i="122"/>
  <c r="G75" i="122"/>
  <c r="G74" i="122"/>
  <c r="G73" i="122"/>
  <c r="G72" i="122"/>
  <c r="G71" i="122"/>
  <c r="G70" i="122"/>
  <c r="G69" i="122"/>
  <c r="G68" i="122"/>
  <c r="G67" i="122"/>
  <c r="G66" i="122"/>
  <c r="G65" i="122"/>
  <c r="G64" i="122"/>
  <c r="G63" i="122"/>
  <c r="G62" i="122"/>
  <c r="G61" i="122"/>
  <c r="G60" i="122"/>
  <c r="G59" i="122"/>
  <c r="G58" i="122"/>
  <c r="G57" i="122"/>
  <c r="G56" i="122"/>
  <c r="G55" i="122"/>
  <c r="G54" i="122"/>
  <c r="G53" i="122"/>
  <c r="G52" i="122"/>
  <c r="G51" i="122"/>
  <c r="G50" i="122"/>
  <c r="G49" i="122"/>
  <c r="G48" i="122"/>
  <c r="G47" i="122"/>
  <c r="G46" i="122"/>
  <c r="G45" i="122"/>
  <c r="G44" i="122"/>
  <c r="G43" i="122"/>
  <c r="G42" i="122"/>
  <c r="G41" i="122"/>
  <c r="G40" i="122"/>
  <c r="G39" i="122"/>
  <c r="G38" i="122"/>
  <c r="G37" i="122"/>
  <c r="G36" i="122"/>
  <c r="G35" i="122"/>
  <c r="G34" i="122"/>
  <c r="G33" i="122"/>
  <c r="G32" i="122"/>
  <c r="G31" i="122"/>
  <c r="G30" i="122"/>
  <c r="G29" i="122"/>
  <c r="G28" i="122"/>
  <c r="G27" i="122"/>
  <c r="G26" i="122"/>
  <c r="G25" i="122"/>
  <c r="G24" i="122"/>
  <c r="G23" i="122"/>
  <c r="G22" i="122"/>
  <c r="G21" i="122"/>
  <c r="G20" i="122"/>
  <c r="G19" i="122"/>
  <c r="G18" i="122"/>
  <c r="G17" i="122"/>
  <c r="G16" i="122"/>
  <c r="G15" i="122"/>
  <c r="G14" i="122"/>
  <c r="G13" i="122"/>
  <c r="G12" i="122"/>
  <c r="G11" i="122"/>
  <c r="G10" i="122"/>
  <c r="G9" i="122"/>
  <c r="G8" i="122"/>
  <c r="G7" i="122"/>
  <c r="G6" i="122"/>
  <c r="H1015" i="124"/>
  <c r="H1014" i="124"/>
  <c r="H1013" i="124"/>
  <c r="H1012" i="124"/>
  <c r="H1011" i="124"/>
  <c r="H1010" i="124"/>
  <c r="H1009" i="124"/>
  <c r="H1008" i="124"/>
  <c r="H1007" i="124"/>
  <c r="H1006" i="124"/>
  <c r="H1005" i="124"/>
  <c r="H1004" i="124"/>
  <c r="H1003" i="124"/>
  <c r="H1002" i="124"/>
  <c r="H1001" i="124"/>
  <c r="H1000" i="124"/>
  <c r="H999" i="124"/>
  <c r="H998" i="124"/>
  <c r="H997" i="124"/>
  <c r="H996" i="124"/>
  <c r="H995" i="124"/>
  <c r="H994" i="124"/>
  <c r="H993" i="124"/>
  <c r="H992" i="124"/>
  <c r="H991" i="124"/>
  <c r="H990" i="124"/>
  <c r="H989" i="124"/>
  <c r="H988" i="124"/>
  <c r="H987" i="124"/>
  <c r="H986" i="124"/>
  <c r="H985" i="124"/>
  <c r="H984" i="124"/>
  <c r="H983" i="124"/>
  <c r="H982" i="124"/>
  <c r="H981" i="124"/>
  <c r="H980" i="124"/>
  <c r="H979" i="124"/>
  <c r="H978" i="124"/>
  <c r="H977" i="124"/>
  <c r="H976" i="124"/>
  <c r="H975" i="124"/>
  <c r="H974" i="124"/>
  <c r="H973" i="124"/>
  <c r="H972" i="124"/>
  <c r="H971" i="124"/>
  <c r="H970" i="124"/>
  <c r="H969" i="124"/>
  <c r="H968" i="124"/>
  <c r="H967" i="124"/>
  <c r="H966" i="124"/>
  <c r="H965" i="124"/>
  <c r="H964" i="124"/>
  <c r="H963" i="124"/>
  <c r="H962" i="124"/>
  <c r="H961" i="124"/>
  <c r="H960" i="124"/>
  <c r="H959" i="124"/>
  <c r="H958" i="124"/>
  <c r="H957" i="124"/>
  <c r="H956" i="124"/>
  <c r="H955" i="124"/>
  <c r="H954" i="124"/>
  <c r="H953" i="124"/>
  <c r="H952" i="124"/>
  <c r="H951" i="124"/>
  <c r="H950" i="124"/>
  <c r="H949" i="124"/>
  <c r="H948" i="124"/>
  <c r="H947" i="124"/>
  <c r="H946" i="124"/>
  <c r="H945" i="124"/>
  <c r="H944" i="124"/>
  <c r="H943" i="124"/>
  <c r="H942" i="124"/>
  <c r="H941" i="124"/>
  <c r="H940" i="124"/>
  <c r="H939" i="124"/>
  <c r="H938" i="124"/>
  <c r="H937" i="124"/>
  <c r="H936" i="124"/>
  <c r="H935" i="124"/>
  <c r="H934" i="124"/>
  <c r="H933" i="124"/>
  <c r="H932" i="124"/>
  <c r="H931" i="124"/>
  <c r="H930" i="124"/>
  <c r="H929" i="124"/>
  <c r="H928" i="124"/>
  <c r="H927" i="124"/>
  <c r="H926" i="124"/>
  <c r="H925" i="124"/>
  <c r="H924" i="124"/>
  <c r="H923" i="124"/>
  <c r="H922" i="124"/>
  <c r="H921" i="124"/>
  <c r="H920" i="124"/>
  <c r="H919" i="124"/>
  <c r="H918" i="124"/>
  <c r="H917" i="124"/>
  <c r="H916" i="124"/>
  <c r="H915" i="124"/>
  <c r="H914" i="124"/>
  <c r="H913" i="124"/>
  <c r="H912" i="124"/>
  <c r="H911" i="124"/>
  <c r="H910" i="124"/>
  <c r="H909" i="124"/>
  <c r="H908" i="124"/>
  <c r="H907" i="124"/>
  <c r="H906" i="124"/>
  <c r="H905" i="124"/>
  <c r="H904" i="124"/>
  <c r="H903" i="124"/>
  <c r="H902" i="124"/>
  <c r="H901" i="124"/>
  <c r="H900" i="124"/>
  <c r="H899" i="124"/>
  <c r="H898" i="124"/>
  <c r="H897" i="124"/>
  <c r="H896" i="124"/>
  <c r="H895" i="124"/>
  <c r="H894" i="124"/>
  <c r="H893" i="124"/>
  <c r="H892" i="124"/>
  <c r="H891" i="124"/>
  <c r="H890" i="124"/>
  <c r="H889" i="124"/>
  <c r="H888" i="124"/>
  <c r="H887" i="124"/>
  <c r="H886" i="124"/>
  <c r="H885" i="124"/>
  <c r="H884" i="124"/>
  <c r="H883" i="124"/>
  <c r="H882" i="124"/>
  <c r="H881" i="124"/>
  <c r="H880" i="124"/>
  <c r="H879" i="124"/>
  <c r="H878" i="124"/>
  <c r="H877" i="124"/>
  <c r="H876" i="124"/>
  <c r="H875" i="124"/>
  <c r="H874" i="124"/>
  <c r="H873" i="124"/>
  <c r="H872" i="124"/>
  <c r="H871" i="124"/>
  <c r="H870" i="124"/>
  <c r="H869" i="124"/>
  <c r="H868" i="124"/>
  <c r="H867" i="124"/>
  <c r="H866" i="124"/>
  <c r="H865" i="124"/>
  <c r="H864" i="124"/>
  <c r="H863" i="124"/>
  <c r="H862" i="124"/>
  <c r="H861" i="124"/>
  <c r="H860" i="124"/>
  <c r="H859" i="124"/>
  <c r="H858" i="124"/>
  <c r="H857" i="124"/>
  <c r="H856" i="124"/>
  <c r="H855" i="124"/>
  <c r="H854" i="124"/>
  <c r="H853" i="124"/>
  <c r="H852" i="124"/>
  <c r="H851" i="124"/>
  <c r="H850" i="124"/>
  <c r="H849" i="124"/>
  <c r="H848" i="124"/>
  <c r="H847" i="124"/>
  <c r="H846" i="124"/>
  <c r="H845" i="124"/>
  <c r="H844" i="124"/>
  <c r="H843" i="124"/>
  <c r="H842" i="124"/>
  <c r="H841" i="124"/>
  <c r="H840" i="124"/>
  <c r="H839" i="124"/>
  <c r="H838" i="124"/>
  <c r="H837" i="124"/>
  <c r="H836" i="124"/>
  <c r="H835" i="124"/>
  <c r="H834" i="124"/>
  <c r="H833" i="124"/>
  <c r="H832" i="124"/>
  <c r="H831" i="124"/>
  <c r="H830" i="124"/>
  <c r="H829" i="124"/>
  <c r="H828" i="124"/>
  <c r="H827" i="124"/>
  <c r="H826" i="124"/>
  <c r="H825" i="124"/>
  <c r="H824" i="124"/>
  <c r="H823" i="124"/>
  <c r="H822" i="124"/>
  <c r="H821" i="124"/>
  <c r="H820" i="124"/>
  <c r="H819" i="124"/>
  <c r="H818" i="124"/>
  <c r="H817" i="124"/>
  <c r="H816" i="124"/>
  <c r="H815" i="124"/>
  <c r="H814" i="124"/>
  <c r="H813" i="124"/>
  <c r="H812" i="124"/>
  <c r="H811" i="124"/>
  <c r="H810" i="124"/>
  <c r="H809" i="124"/>
  <c r="H808" i="124"/>
  <c r="H807" i="124"/>
  <c r="H806" i="124"/>
  <c r="H805" i="124"/>
  <c r="H804" i="124"/>
  <c r="H803" i="124"/>
  <c r="H802" i="124"/>
  <c r="H801" i="124"/>
  <c r="H800" i="124"/>
  <c r="H799" i="124"/>
  <c r="H798" i="124"/>
  <c r="H797" i="124"/>
  <c r="H796" i="124"/>
  <c r="H795" i="124"/>
  <c r="H794" i="124"/>
  <c r="H793" i="124"/>
  <c r="H792" i="124"/>
  <c r="H791" i="124"/>
  <c r="H790" i="124"/>
  <c r="H789" i="124"/>
  <c r="H788" i="124"/>
  <c r="H787" i="124"/>
  <c r="H786" i="124"/>
  <c r="H785" i="124"/>
  <c r="H784" i="124"/>
  <c r="H783" i="124"/>
  <c r="H782" i="124"/>
  <c r="H781" i="124"/>
  <c r="H780" i="124"/>
  <c r="H779" i="124"/>
  <c r="H778" i="124"/>
  <c r="H777" i="124"/>
  <c r="H776" i="124"/>
  <c r="H775" i="124"/>
  <c r="H774" i="124"/>
  <c r="H773" i="124"/>
  <c r="H772" i="124"/>
  <c r="H771" i="124"/>
  <c r="H770" i="124"/>
  <c r="H769" i="124"/>
  <c r="H768" i="124"/>
  <c r="H767" i="124"/>
  <c r="H766" i="124"/>
  <c r="H765" i="124"/>
  <c r="H764" i="124"/>
  <c r="H763" i="124"/>
  <c r="H762" i="124"/>
  <c r="H761" i="124"/>
  <c r="H760" i="124"/>
  <c r="H759" i="124"/>
  <c r="H758" i="124"/>
  <c r="H757" i="124"/>
  <c r="H756" i="124"/>
  <c r="H755" i="124"/>
  <c r="H754" i="124"/>
  <c r="H753" i="124"/>
  <c r="H752" i="124"/>
  <c r="H751" i="124"/>
  <c r="H750" i="124"/>
  <c r="H749" i="124"/>
  <c r="H748" i="124"/>
  <c r="H747" i="124"/>
  <c r="H746" i="124"/>
  <c r="H745" i="124"/>
  <c r="H744" i="124"/>
  <c r="H743" i="124"/>
  <c r="H742" i="124"/>
  <c r="H741" i="124"/>
  <c r="H740" i="124"/>
  <c r="H739" i="124"/>
  <c r="H738" i="124"/>
  <c r="H737" i="124"/>
  <c r="H736" i="124"/>
  <c r="H735" i="124"/>
  <c r="H734" i="124"/>
  <c r="H733" i="124"/>
  <c r="H732" i="124"/>
  <c r="H731" i="124"/>
  <c r="H730" i="124"/>
  <c r="H729" i="124"/>
  <c r="H728" i="124"/>
  <c r="H727" i="124"/>
  <c r="H726" i="124"/>
  <c r="H725" i="124"/>
  <c r="H724" i="124"/>
  <c r="H723" i="124"/>
  <c r="H722" i="124"/>
  <c r="H721" i="124"/>
  <c r="H720" i="124"/>
  <c r="H719" i="124"/>
  <c r="H718" i="124"/>
  <c r="H717" i="124"/>
  <c r="H716" i="124"/>
  <c r="H715" i="124"/>
  <c r="H714" i="124"/>
  <c r="H713" i="124"/>
  <c r="H712" i="124"/>
  <c r="H711" i="124"/>
  <c r="H710" i="124"/>
  <c r="H114" i="124"/>
  <c r="H113" i="124"/>
  <c r="H112" i="124"/>
  <c r="H111" i="124"/>
  <c r="H106" i="124"/>
  <c r="H10" i="124" l="1"/>
  <c r="H100" i="124" s="1"/>
  <c r="H1016" i="124" l="1"/>
  <c r="H695" i="124"/>
  <c r="H683" i="124"/>
  <c r="H669" i="124"/>
  <c r="H657" i="124"/>
  <c r="H644" i="124"/>
  <c r="H631" i="124"/>
  <c r="H618" i="124"/>
  <c r="H605" i="124"/>
  <c r="H593" i="124"/>
  <c r="H580" i="124"/>
  <c r="H566" i="124"/>
  <c r="H554" i="124"/>
  <c r="H541" i="124"/>
  <c r="H528" i="124"/>
  <c r="H515" i="124"/>
  <c r="H503" i="124"/>
  <c r="H491" i="124"/>
  <c r="H479" i="124"/>
  <c r="H466" i="124"/>
  <c r="H454" i="124"/>
  <c r="H442" i="124"/>
  <c r="H429" i="124"/>
  <c r="H417" i="124"/>
  <c r="H405" i="124"/>
  <c r="H393" i="124"/>
  <c r="H381" i="124"/>
  <c r="H369" i="124"/>
  <c r="H356" i="124"/>
  <c r="H344" i="124"/>
  <c r="H332" i="124"/>
  <c r="H320" i="124"/>
  <c r="H308" i="124"/>
  <c r="H295" i="124"/>
  <c r="H283" i="124"/>
  <c r="H271" i="124"/>
  <c r="H259" i="124"/>
  <c r="H247" i="124"/>
  <c r="H235" i="124"/>
  <c r="H223" i="124"/>
  <c r="H210" i="124"/>
  <c r="H198" i="124"/>
  <c r="H186" i="124"/>
  <c r="H174" i="124"/>
  <c r="H162" i="124"/>
  <c r="H150" i="124"/>
  <c r="H137" i="124"/>
  <c r="H125" i="124"/>
  <c r="H97" i="124"/>
  <c r="H124" i="124"/>
  <c r="H679" i="124"/>
  <c r="H640" i="124"/>
  <c r="H601" i="124"/>
  <c r="H537" i="124"/>
  <c r="H511" i="124"/>
  <c r="H474" i="124"/>
  <c r="H462" i="124"/>
  <c r="H425" i="124"/>
  <c r="H377" i="124"/>
  <c r="H340" i="124"/>
  <c r="H291" i="124"/>
  <c r="H243" i="124"/>
  <c r="H182" i="124"/>
  <c r="H133" i="124"/>
  <c r="H694" i="124"/>
  <c r="H682" i="124"/>
  <c r="H668" i="124"/>
  <c r="H656" i="124"/>
  <c r="H643" i="124"/>
  <c r="H630" i="124"/>
  <c r="H617" i="124"/>
  <c r="H604" i="124"/>
  <c r="H592" i="124"/>
  <c r="H579" i="124"/>
  <c r="H565" i="124"/>
  <c r="H553" i="124"/>
  <c r="H540" i="124"/>
  <c r="H527" i="124"/>
  <c r="H514" i="124"/>
  <c r="H502" i="124"/>
  <c r="H490" i="124"/>
  <c r="H478" i="124"/>
  <c r="H465" i="124"/>
  <c r="H453" i="124"/>
  <c r="H441" i="124"/>
  <c r="H428" i="124"/>
  <c r="H416" i="124"/>
  <c r="H404" i="124"/>
  <c r="H392" i="124"/>
  <c r="H380" i="124"/>
  <c r="H368" i="124"/>
  <c r="H355" i="124"/>
  <c r="H343" i="124"/>
  <c r="H331" i="124"/>
  <c r="H319" i="124"/>
  <c r="H307" i="124"/>
  <c r="H294" i="124"/>
  <c r="H282" i="124"/>
  <c r="H270" i="124"/>
  <c r="H258" i="124"/>
  <c r="H246" i="124"/>
  <c r="H234" i="124"/>
  <c r="H222" i="124"/>
  <c r="H209" i="124"/>
  <c r="H197" i="124"/>
  <c r="H185" i="124"/>
  <c r="H173" i="124"/>
  <c r="H161" i="124"/>
  <c r="H148" i="124"/>
  <c r="H136" i="124"/>
  <c r="H691" i="124"/>
  <c r="H627" i="124"/>
  <c r="H562" i="124"/>
  <c r="H487" i="124"/>
  <c r="H413" i="124"/>
  <c r="H352" i="124"/>
  <c r="H304" i="124"/>
  <c r="H255" i="124"/>
  <c r="H194" i="124"/>
  <c r="H145" i="124"/>
  <c r="H693" i="124"/>
  <c r="H681" i="124"/>
  <c r="H667" i="124"/>
  <c r="H655" i="124"/>
  <c r="H642" i="124"/>
  <c r="H629" i="124"/>
  <c r="H616" i="124"/>
  <c r="H603" i="124"/>
  <c r="H591" i="124"/>
  <c r="H578" i="124"/>
  <c r="H564" i="124"/>
  <c r="H552" i="124"/>
  <c r="H539" i="124"/>
  <c r="H526" i="124"/>
  <c r="H513" i="124"/>
  <c r="H501" i="124"/>
  <c r="H489" i="124"/>
  <c r="H477" i="124"/>
  <c r="H464" i="124"/>
  <c r="H452" i="124"/>
  <c r="H440" i="124"/>
  <c r="H427" i="124"/>
  <c r="H415" i="124"/>
  <c r="H403" i="124"/>
  <c r="H391" i="124"/>
  <c r="H379" i="124"/>
  <c r="H367" i="124"/>
  <c r="H354" i="124"/>
  <c r="H342" i="124"/>
  <c r="H330" i="124"/>
  <c r="H318" i="124"/>
  <c r="H306" i="124"/>
  <c r="H293" i="124"/>
  <c r="H281" i="124"/>
  <c r="H269" i="124"/>
  <c r="H257" i="124"/>
  <c r="H245" i="124"/>
  <c r="H233" i="124"/>
  <c r="H221" i="124"/>
  <c r="H208" i="124"/>
  <c r="H196" i="124"/>
  <c r="H184" i="124"/>
  <c r="H172" i="124"/>
  <c r="H160" i="124"/>
  <c r="H147" i="124"/>
  <c r="H135" i="124"/>
  <c r="H123" i="124"/>
  <c r="H653" i="124"/>
  <c r="H576" i="124"/>
  <c r="H524" i="124"/>
  <c r="H450" i="124"/>
  <c r="H401" i="124"/>
  <c r="H328" i="124"/>
  <c r="H279" i="124"/>
  <c r="H206" i="124"/>
  <c r="H158" i="124"/>
  <c r="H105" i="124"/>
  <c r="H692" i="124"/>
  <c r="H680" i="124"/>
  <c r="H666" i="124"/>
  <c r="H654" i="124"/>
  <c r="H641" i="124"/>
  <c r="H628" i="124"/>
  <c r="H615" i="124"/>
  <c r="H602" i="124"/>
  <c r="H590" i="124"/>
  <c r="H577" i="124"/>
  <c r="H563" i="124"/>
  <c r="H551" i="124"/>
  <c r="H538" i="124"/>
  <c r="H525" i="124"/>
  <c r="H512" i="124"/>
  <c r="H500" i="124"/>
  <c r="H488" i="124"/>
  <c r="H475" i="124"/>
  <c r="H463" i="124"/>
  <c r="H451" i="124"/>
  <c r="H439" i="124"/>
  <c r="H426" i="124"/>
  <c r="H414" i="124"/>
  <c r="H402" i="124"/>
  <c r="H390" i="124"/>
  <c r="H378" i="124"/>
  <c r="H366" i="124"/>
  <c r="H353" i="124"/>
  <c r="H341" i="124"/>
  <c r="H329" i="124"/>
  <c r="H317" i="124"/>
  <c r="H305" i="124"/>
  <c r="H292" i="124"/>
  <c r="H280" i="124"/>
  <c r="H268" i="124"/>
  <c r="H256" i="124"/>
  <c r="H244" i="124"/>
  <c r="H232" i="124"/>
  <c r="H220" i="124"/>
  <c r="H207" i="124"/>
  <c r="H195" i="124"/>
  <c r="H183" i="124"/>
  <c r="H171" i="124"/>
  <c r="H159" i="124"/>
  <c r="H146" i="124"/>
  <c r="H134" i="124"/>
  <c r="H122" i="124"/>
  <c r="H665" i="124"/>
  <c r="H614" i="124"/>
  <c r="H550" i="124"/>
  <c r="H499" i="124"/>
  <c r="H438" i="124"/>
  <c r="H364" i="124"/>
  <c r="H316" i="124"/>
  <c r="H267" i="124"/>
  <c r="H219" i="124"/>
  <c r="H170" i="124"/>
  <c r="H121" i="124"/>
  <c r="H589" i="124"/>
  <c r="H389" i="124"/>
  <c r="H231" i="124"/>
  <c r="H664" i="124"/>
  <c r="H625" i="124"/>
  <c r="H701" i="124"/>
  <c r="H688" i="124"/>
  <c r="H676" i="124"/>
  <c r="H662" i="124"/>
  <c r="H650" i="124"/>
  <c r="H637" i="124"/>
  <c r="H623" i="124"/>
  <c r="H611" i="124"/>
  <c r="H598" i="124"/>
  <c r="H586" i="124"/>
  <c r="H572" i="124"/>
  <c r="H559" i="124"/>
  <c r="H547" i="124"/>
  <c r="H533" i="124"/>
  <c r="H520" i="124"/>
  <c r="H508" i="124"/>
  <c r="H496" i="124"/>
  <c r="H484" i="124"/>
  <c r="H471" i="124"/>
  <c r="H459" i="124"/>
  <c r="H447" i="124"/>
  <c r="H435" i="124"/>
  <c r="H422" i="124"/>
  <c r="H410" i="124"/>
  <c r="H398" i="124"/>
  <c r="H386" i="124"/>
  <c r="H374" i="124"/>
  <c r="H361" i="124"/>
  <c r="H349" i="124"/>
  <c r="H337" i="124"/>
  <c r="H325" i="124"/>
  <c r="H313" i="124"/>
  <c r="H301" i="124"/>
  <c r="H288" i="124"/>
  <c r="H276" i="124"/>
  <c r="H264" i="124"/>
  <c r="H252" i="124"/>
  <c r="H240" i="124"/>
  <c r="H228" i="124"/>
  <c r="H216" i="124"/>
  <c r="H203" i="124"/>
  <c r="H191" i="124"/>
  <c r="H179" i="124"/>
  <c r="H167" i="124"/>
  <c r="H155" i="124"/>
  <c r="H142" i="124"/>
  <c r="H130" i="124"/>
  <c r="H118" i="124"/>
  <c r="H102" i="124"/>
  <c r="H699" i="124"/>
  <c r="H687" i="124"/>
  <c r="H674" i="124"/>
  <c r="H661" i="124"/>
  <c r="H649" i="124"/>
  <c r="H635" i="124"/>
  <c r="H609" i="124"/>
  <c r="H597" i="124"/>
  <c r="H584" i="124"/>
  <c r="H571" i="124"/>
  <c r="H558" i="124"/>
  <c r="H546" i="124"/>
  <c r="H532" i="124"/>
  <c r="H519" i="124"/>
  <c r="H495" i="124"/>
  <c r="H483" i="124"/>
  <c r="H470" i="124"/>
  <c r="H458" i="124"/>
  <c r="H434" i="124"/>
  <c r="H421" i="124"/>
  <c r="H409" i="124"/>
  <c r="H397" i="124"/>
  <c r="H385" i="124"/>
  <c r="H373" i="124"/>
  <c r="H360" i="124"/>
  <c r="H348" i="124"/>
  <c r="H336" i="124"/>
  <c r="H324" i="124"/>
  <c r="H312" i="124"/>
  <c r="H300" i="124"/>
  <c r="H287" i="124"/>
  <c r="H275" i="124"/>
  <c r="H263" i="124"/>
  <c r="H251" i="124"/>
  <c r="H239" i="124"/>
  <c r="H227" i="124"/>
  <c r="H1020" i="124"/>
  <c r="H622" i="124"/>
  <c r="H507" i="124"/>
  <c r="H1018" i="124"/>
  <c r="H697" i="124"/>
  <c r="H685" i="124"/>
  <c r="H672" i="124"/>
  <c r="H659" i="124"/>
  <c r="H647" i="124"/>
  <c r="H633" i="124"/>
  <c r="H620" i="124"/>
  <c r="H607" i="124"/>
  <c r="H595" i="124"/>
  <c r="H582" i="124"/>
  <c r="H569" i="124"/>
  <c r="H556" i="124"/>
  <c r="H544" i="124"/>
  <c r="H530" i="124"/>
  <c r="H517" i="124"/>
  <c r="H505" i="124"/>
  <c r="H493" i="124"/>
  <c r="H481" i="124"/>
  <c r="H468" i="124"/>
  <c r="H456" i="124"/>
  <c r="H444" i="124"/>
  <c r="H431" i="124"/>
  <c r="H419" i="124"/>
  <c r="H407" i="124"/>
  <c r="H395" i="124"/>
  <c r="H383" i="124"/>
  <c r="H371" i="124"/>
  <c r="H358" i="124"/>
  <c r="H346" i="124"/>
  <c r="H334" i="124"/>
  <c r="H322" i="124"/>
  <c r="H310" i="124"/>
  <c r="H297" i="124"/>
  <c r="H285" i="124"/>
  <c r="H273" i="124"/>
  <c r="H261" i="124"/>
  <c r="H249" i="124"/>
  <c r="H237" i="124"/>
  <c r="H225" i="124"/>
  <c r="H212" i="124"/>
  <c r="H200" i="124"/>
  <c r="H188" i="124"/>
  <c r="H176" i="124"/>
  <c r="H164" i="124"/>
  <c r="H152" i="124"/>
  <c r="H139" i="124"/>
  <c r="H127" i="124"/>
  <c r="H115" i="124"/>
  <c r="H99" i="124"/>
  <c r="H696" i="124"/>
  <c r="H684" i="124"/>
  <c r="H670" i="124"/>
  <c r="H658" i="124"/>
  <c r="H645" i="124"/>
  <c r="H632" i="124"/>
  <c r="H619" i="124"/>
  <c r="H606" i="124"/>
  <c r="H594" i="124"/>
  <c r="H581" i="124"/>
  <c r="H567" i="124"/>
  <c r="H555" i="124"/>
  <c r="H542" i="124"/>
  <c r="H529" i="124"/>
  <c r="H516" i="124"/>
  <c r="H504" i="124"/>
  <c r="H492" i="124"/>
  <c r="H480" i="124"/>
  <c r="H467" i="124"/>
  <c r="H455" i="124"/>
  <c r="H443" i="124"/>
  <c r="H430" i="124"/>
  <c r="H418" i="124"/>
  <c r="H406" i="124"/>
  <c r="H394" i="124"/>
  <c r="H370" i="124"/>
  <c r="H357" i="124"/>
  <c r="H345" i="124"/>
  <c r="H333" i="124"/>
  <c r="H321" i="124"/>
  <c r="H309" i="124"/>
  <c r="H296" i="124"/>
  <c r="H284" i="124"/>
  <c r="H272" i="124"/>
  <c r="H1017" i="124"/>
  <c r="H382" i="124"/>
  <c r="H652" i="124"/>
  <c r="H599" i="124"/>
  <c r="H548" i="124"/>
  <c r="H497" i="124"/>
  <c r="H448" i="124"/>
  <c r="H400" i="124"/>
  <c r="H351" i="124"/>
  <c r="H303" i="124"/>
  <c r="H260" i="124"/>
  <c r="H224" i="124"/>
  <c r="H192" i="124"/>
  <c r="H165" i="124"/>
  <c r="H132" i="124"/>
  <c r="H494" i="124"/>
  <c r="H399" i="124"/>
  <c r="H350" i="124"/>
  <c r="H302" i="124"/>
  <c r="H254" i="124"/>
  <c r="H190" i="124"/>
  <c r="H163" i="124"/>
  <c r="H131" i="124"/>
  <c r="H648" i="124"/>
  <c r="H536" i="124"/>
  <c r="H445" i="124"/>
  <c r="H347" i="124"/>
  <c r="H217" i="124"/>
  <c r="H157" i="124"/>
  <c r="H638" i="124"/>
  <c r="H387" i="124"/>
  <c r="H338" i="124"/>
  <c r="H181" i="124"/>
  <c r="H101" i="124"/>
  <c r="H689" i="124"/>
  <c r="H473" i="124"/>
  <c r="H180" i="124"/>
  <c r="H686" i="124"/>
  <c r="H376" i="124"/>
  <c r="H178" i="124"/>
  <c r="H518" i="124"/>
  <c r="H375" i="124"/>
  <c r="H177" i="124"/>
  <c r="H651" i="124"/>
  <c r="H596" i="124"/>
  <c r="H545" i="124"/>
  <c r="H446" i="124"/>
  <c r="H218" i="124"/>
  <c r="H588" i="124"/>
  <c r="H396" i="124"/>
  <c r="H298" i="124"/>
  <c r="H189" i="124"/>
  <c r="H104" i="124"/>
  <c r="H531" i="124"/>
  <c r="H213" i="124"/>
  <c r="H433" i="124"/>
  <c r="H486" i="124"/>
  <c r="H253" i="124"/>
  <c r="H129" i="124"/>
  <c r="H482" i="124"/>
  <c r="H289" i="124"/>
  <c r="H154" i="124"/>
  <c r="H574" i="124"/>
  <c r="H211" i="124"/>
  <c r="H278" i="124"/>
  <c r="H238" i="124"/>
  <c r="H698" i="124"/>
  <c r="H639" i="124"/>
  <c r="H587" i="124"/>
  <c r="H534" i="124"/>
  <c r="H485" i="124"/>
  <c r="H437" i="124"/>
  <c r="H388" i="124"/>
  <c r="H339" i="124"/>
  <c r="H290" i="124"/>
  <c r="H250" i="124"/>
  <c r="H214" i="124"/>
  <c r="H187" i="124"/>
  <c r="H156" i="124"/>
  <c r="H128" i="124"/>
  <c r="H103" i="124"/>
  <c r="H690" i="124"/>
  <c r="H583" i="124"/>
  <c r="H436" i="124"/>
  <c r="H248" i="124"/>
  <c r="H126" i="124"/>
  <c r="H634" i="124"/>
  <c r="H242" i="124"/>
  <c r="H472" i="124"/>
  <c r="H277" i="124"/>
  <c r="H1019" i="124"/>
  <c r="H677" i="124"/>
  <c r="H613" i="124"/>
  <c r="H561" i="124"/>
  <c r="H510" i="124"/>
  <c r="H461" i="124"/>
  <c r="H420" i="124"/>
  <c r="H372" i="124"/>
  <c r="H323" i="124"/>
  <c r="H274" i="124"/>
  <c r="H236" i="124"/>
  <c r="H202" i="124"/>
  <c r="H175" i="124"/>
  <c r="H143" i="124"/>
  <c r="H116" i="124"/>
  <c r="H141" i="124"/>
  <c r="H660" i="124"/>
  <c r="H498" i="124"/>
  <c r="H359" i="124"/>
  <c r="H193" i="124"/>
  <c r="H286" i="124"/>
  <c r="H573" i="124"/>
  <c r="H327" i="124"/>
  <c r="H151" i="124"/>
  <c r="H570" i="124"/>
  <c r="H326" i="124"/>
  <c r="H144" i="124"/>
  <c r="H673" i="124"/>
  <c r="H612" i="124"/>
  <c r="H560" i="124"/>
  <c r="H509" i="124"/>
  <c r="H460" i="124"/>
  <c r="H412" i="124"/>
  <c r="H363" i="124"/>
  <c r="H315" i="124"/>
  <c r="H266" i="124"/>
  <c r="H230" i="124"/>
  <c r="H201" i="124"/>
  <c r="H169" i="124"/>
  <c r="H600" i="124"/>
  <c r="H449" i="124"/>
  <c r="H311" i="124"/>
  <c r="H226" i="124"/>
  <c r="H138" i="124"/>
  <c r="H522" i="124"/>
  <c r="H335" i="124"/>
  <c r="H153" i="124"/>
  <c r="H624" i="124"/>
  <c r="H424" i="124"/>
  <c r="H205" i="124"/>
  <c r="H98" i="124"/>
  <c r="H678" i="124"/>
  <c r="H469" i="124"/>
  <c r="H204" i="124"/>
  <c r="H663" i="124"/>
  <c r="H608" i="124"/>
  <c r="H557" i="124"/>
  <c r="H506" i="124"/>
  <c r="H457" i="124"/>
  <c r="H411" i="124"/>
  <c r="H362" i="124"/>
  <c r="H314" i="124"/>
  <c r="H265" i="124"/>
  <c r="H229" i="124"/>
  <c r="H199" i="124"/>
  <c r="H168" i="124"/>
  <c r="H140" i="124"/>
  <c r="H549" i="124"/>
  <c r="H408" i="124"/>
  <c r="H262" i="124"/>
  <c r="H166" i="124"/>
  <c r="H384" i="124"/>
  <c r="H120" i="124"/>
  <c r="H521" i="124"/>
  <c r="H241" i="124"/>
  <c r="H119" i="124"/>
  <c r="H621" i="124"/>
  <c r="H423" i="124"/>
  <c r="H117" i="124"/>
  <c r="AU41" i="129"/>
  <c r="AU39" i="129" s="1"/>
  <c r="E70" i="3"/>
  <c r="AO38" i="129" s="1"/>
  <c r="E71" i="3"/>
  <c r="E69" i="3"/>
  <c r="AE39" i="129" s="1"/>
  <c r="E68" i="3"/>
  <c r="AE38" i="129" s="1"/>
  <c r="E67" i="3"/>
  <c r="E72" i="3"/>
  <c r="E66" i="3"/>
  <c r="AO23" i="129" s="1"/>
  <c r="E65" i="3"/>
  <c r="AE23" i="129" s="1"/>
  <c r="E64" i="3"/>
  <c r="S23" i="129" s="1"/>
  <c r="E63" i="3"/>
  <c r="H23" i="129" s="1"/>
  <c r="E62" i="3"/>
  <c r="K18" i="129" s="1"/>
  <c r="AR46" i="129"/>
  <c r="AU26" i="129"/>
  <c r="AU28" i="129" s="1"/>
  <c r="E47" i="3"/>
  <c r="AP32" i="127" s="1"/>
  <c r="E46" i="3"/>
  <c r="AG32" i="127" s="1"/>
  <c r="AU26" i="98"/>
  <c r="AU40" i="98"/>
  <c r="E26" i="3"/>
  <c r="E25" i="3"/>
  <c r="AF21" i="98" s="1"/>
  <c r="E24" i="3"/>
  <c r="AF27" i="98" s="1"/>
  <c r="E87" i="3"/>
  <c r="E86" i="3"/>
  <c r="E85" i="3"/>
  <c r="E84" i="3"/>
  <c r="AU52" i="98" s="1"/>
  <c r="E83" i="3"/>
  <c r="AU51" i="98" s="1"/>
  <c r="E82" i="3"/>
  <c r="AU50" i="98" s="1"/>
  <c r="AU26" i="128"/>
  <c r="AU28" i="128" s="1"/>
  <c r="E74" i="3"/>
  <c r="AR46" i="128"/>
  <c r="AU39" i="127"/>
  <c r="AV39" i="127" s="1"/>
  <c r="AU38" i="127"/>
  <c r="AV38" i="127" s="1"/>
  <c r="AB22" i="126"/>
  <c r="O22" i="126"/>
  <c r="E22" i="126"/>
  <c r="AR49" i="127"/>
  <c r="AU27" i="127"/>
  <c r="AU29" i="127" s="1"/>
  <c r="E35" i="3"/>
  <c r="Y36" i="126" s="1"/>
  <c r="E34" i="3"/>
  <c r="N36" i="126" s="1"/>
  <c r="E33" i="3"/>
  <c r="D36" i="126" s="1"/>
  <c r="AB34" i="126"/>
  <c r="E32" i="3"/>
  <c r="H18" i="126" s="1"/>
  <c r="AR45" i="126"/>
  <c r="AU27" i="126"/>
  <c r="AU28" i="98"/>
  <c r="E38" i="3"/>
  <c r="N31" i="98" s="1"/>
  <c r="E37" i="3"/>
  <c r="G31" i="98" s="1"/>
  <c r="E31" i="3"/>
  <c r="AU37" i="126" s="1"/>
  <c r="H39" i="129" l="1"/>
  <c r="S39" i="129"/>
  <c r="H40" i="129"/>
  <c r="S40" i="129"/>
  <c r="AO39" i="129"/>
  <c r="AU39" i="98"/>
  <c r="AB34" i="98" s="1"/>
  <c r="AU34" i="129"/>
  <c r="AU35" i="129"/>
  <c r="AV50" i="98"/>
  <c r="AV22" i="126"/>
  <c r="AW37" i="129"/>
  <c r="AW38" i="129"/>
  <c r="AU32" i="129"/>
  <c r="AU33" i="129"/>
  <c r="S37" i="129" s="1"/>
  <c r="V32" i="127"/>
  <c r="N32" i="127"/>
  <c r="AM22" i="126"/>
  <c r="AU29" i="126"/>
  <c r="AU30" i="98"/>
  <c r="P104" i="124" l="1"/>
  <c r="P103" i="124"/>
  <c r="P102" i="124"/>
  <c r="O102" i="124" s="1"/>
  <c r="P101" i="124"/>
  <c r="AB33" i="98"/>
  <c r="AB32" i="98"/>
  <c r="AV38" i="98"/>
  <c r="P80" i="124" s="1"/>
  <c r="O104" i="124"/>
  <c r="AR47" i="98"/>
  <c r="B4" i="122"/>
  <c r="B5" i="122" s="1"/>
  <c r="B6" i="122" s="1"/>
  <c r="B7" i="122" s="1"/>
  <c r="B8" i="122" s="1"/>
  <c r="B9" i="122" s="1"/>
  <c r="B10" i="122" s="1"/>
  <c r="B11" i="122" s="1"/>
  <c r="B12" i="122" s="1"/>
  <c r="B13" i="122" s="1"/>
  <c r="B14" i="122" s="1"/>
  <c r="B15" i="122" s="1"/>
  <c r="B16" i="122" s="1"/>
  <c r="B17" i="122" s="1"/>
  <c r="B18" i="122" s="1"/>
  <c r="B19" i="122" s="1"/>
  <c r="B20" i="122" s="1"/>
  <c r="B21" i="122" s="1"/>
  <c r="B22" i="122" s="1"/>
  <c r="B23" i="122" s="1"/>
  <c r="P87" i="124" l="1"/>
  <c r="P83" i="124"/>
  <c r="P78" i="124"/>
  <c r="P88" i="124"/>
  <c r="P82" i="124"/>
  <c r="P81" i="124"/>
  <c r="P89" i="124"/>
  <c r="P86" i="124"/>
  <c r="P85" i="124"/>
  <c r="P79" i="124"/>
  <c r="P84" i="124"/>
  <c r="H90" i="122"/>
  <c r="G5" i="122"/>
  <c r="G4" i="122"/>
  <c r="B54" i="125"/>
  <c r="J45" i="125" l="1"/>
  <c r="H90" i="124" l="1"/>
  <c r="H77" i="124"/>
  <c r="H60" i="124"/>
  <c r="H47" i="124"/>
  <c r="E94" i="3"/>
  <c r="E93" i="3"/>
  <c r="E92" i="3"/>
  <c r="E91" i="3"/>
  <c r="E90" i="3"/>
  <c r="E95" i="3"/>
  <c r="E88" i="3"/>
  <c r="W21" i="106"/>
  <c r="E54" i="3"/>
  <c r="E52" i="3"/>
  <c r="E58" i="3"/>
  <c r="O18" i="127" s="1"/>
  <c r="E7" i="3"/>
  <c r="E57" i="3"/>
  <c r="E14" i="3"/>
  <c r="U48" i="129" s="1"/>
  <c r="E130" i="3"/>
  <c r="E23" i="125" s="1"/>
  <c r="E140" i="3"/>
  <c r="B7" i="106" s="1"/>
  <c r="E157" i="3"/>
  <c r="E156" i="3"/>
  <c r="E27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5" i="3"/>
  <c r="E154" i="3"/>
  <c r="E153" i="3"/>
  <c r="E152" i="3"/>
  <c r="E151" i="3"/>
  <c r="E150" i="3"/>
  <c r="E149" i="3"/>
  <c r="E148" i="3"/>
  <c r="E147" i="3"/>
  <c r="E146" i="3"/>
  <c r="C57" i="125" s="1"/>
  <c r="E145" i="3"/>
  <c r="E144" i="3"/>
  <c r="C56" i="125" s="1"/>
  <c r="E143" i="3"/>
  <c r="C49" i="125" s="1"/>
  <c r="E142" i="3"/>
  <c r="F45" i="125" s="1"/>
  <c r="E139" i="3"/>
  <c r="I8" i="124" s="1"/>
  <c r="E138" i="3"/>
  <c r="J6" i="124" s="1"/>
  <c r="E137" i="3"/>
  <c r="E136" i="3"/>
  <c r="E135" i="3"/>
  <c r="E134" i="3"/>
  <c r="J23" i="125" s="1"/>
  <c r="E133" i="3"/>
  <c r="I23" i="125" s="1"/>
  <c r="E132" i="3"/>
  <c r="E131" i="3"/>
  <c r="F23" i="125" s="1"/>
  <c r="E129" i="3"/>
  <c r="E128" i="3"/>
  <c r="E127" i="3"/>
  <c r="E126" i="3"/>
  <c r="F18" i="125" s="1"/>
  <c r="E125" i="3"/>
  <c r="F16" i="125" s="1"/>
  <c r="E124" i="3"/>
  <c r="B21" i="125" s="1"/>
  <c r="E123" i="3"/>
  <c r="V20" i="83" s="1"/>
  <c r="E122" i="3"/>
  <c r="B22" i="106" s="1"/>
  <c r="E121" i="3"/>
  <c r="E120" i="3"/>
  <c r="E119" i="3"/>
  <c r="E118" i="3"/>
  <c r="B6" i="125" s="1"/>
  <c r="E117" i="3"/>
  <c r="B10" i="106" s="1"/>
  <c r="E116" i="3"/>
  <c r="E115" i="3"/>
  <c r="C2" i="124" s="1"/>
  <c r="E114" i="3"/>
  <c r="E113" i="3"/>
  <c r="E112" i="3"/>
  <c r="E111" i="3"/>
  <c r="V26" i="106" s="1"/>
  <c r="E110" i="3"/>
  <c r="V23" i="106" s="1"/>
  <c r="E109" i="3"/>
  <c r="V22" i="106" s="1"/>
  <c r="E108" i="3"/>
  <c r="E107" i="3"/>
  <c r="E106" i="3"/>
  <c r="W16" i="106" s="1"/>
  <c r="E105" i="3"/>
  <c r="E104" i="3"/>
  <c r="E103" i="3"/>
  <c r="W14" i="106" s="1"/>
  <c r="E102" i="3"/>
  <c r="V13" i="106" s="1"/>
  <c r="E101" i="3"/>
  <c r="W12" i="106" s="1"/>
  <c r="E100" i="3"/>
  <c r="W11" i="106" s="1"/>
  <c r="E99" i="3"/>
  <c r="V10" i="106" s="1"/>
  <c r="E98" i="3"/>
  <c r="V9" i="106" s="1"/>
  <c r="E97" i="3"/>
  <c r="AU16" i="83" s="1"/>
  <c r="E96" i="3"/>
  <c r="AU23" i="83" s="1"/>
  <c r="E89" i="3"/>
  <c r="E81" i="3"/>
  <c r="E80" i="3"/>
  <c r="AF39" i="128" s="1"/>
  <c r="E79" i="3"/>
  <c r="S39" i="128" s="1"/>
  <c r="E78" i="3"/>
  <c r="K39" i="128" s="1"/>
  <c r="E77" i="3"/>
  <c r="E76" i="3"/>
  <c r="E75" i="3"/>
  <c r="E73" i="3"/>
  <c r="E61" i="3"/>
  <c r="E60" i="3"/>
  <c r="E59" i="3"/>
  <c r="E56" i="3"/>
  <c r="E55" i="3"/>
  <c r="E53" i="3"/>
  <c r="E51" i="3"/>
  <c r="AD22" i="127" s="1"/>
  <c r="E50" i="3"/>
  <c r="W22" i="127" s="1"/>
  <c r="E49" i="3"/>
  <c r="E48" i="3"/>
  <c r="AU35" i="127" s="1"/>
  <c r="E45" i="3"/>
  <c r="AU34" i="127" s="1"/>
  <c r="E44" i="3"/>
  <c r="AU33" i="127" s="1"/>
  <c r="E43" i="3"/>
  <c r="H18" i="127" s="1"/>
  <c r="E36" i="3"/>
  <c r="E30" i="3"/>
  <c r="AO35" i="129" s="1"/>
  <c r="E29" i="3"/>
  <c r="E28" i="3"/>
  <c r="E23" i="3"/>
  <c r="E22" i="3"/>
  <c r="O27" i="98" s="1"/>
  <c r="E21" i="3"/>
  <c r="E20" i="3"/>
  <c r="K10" i="129" s="1"/>
  <c r="E19" i="3"/>
  <c r="K8" i="129" s="1"/>
  <c r="E18" i="3"/>
  <c r="B4" i="125" s="1"/>
  <c r="E17" i="3"/>
  <c r="E16" i="3"/>
  <c r="AR4" i="106" s="1"/>
  <c r="E15" i="3"/>
  <c r="AI4" i="83" s="1"/>
  <c r="E13" i="3"/>
  <c r="K2" i="125" s="1"/>
  <c r="E12" i="3"/>
  <c r="E11" i="3"/>
  <c r="E10" i="3"/>
  <c r="E9" i="3"/>
  <c r="AI2" i="129" s="1"/>
  <c r="E8" i="3"/>
  <c r="AA2" i="129" s="1"/>
  <c r="E6" i="3"/>
  <c r="E5" i="3"/>
  <c r="E4" i="3"/>
  <c r="E3" i="3"/>
  <c r="V15" i="106" l="1"/>
  <c r="B8" i="106"/>
  <c r="B5" i="125"/>
  <c r="C10" i="124"/>
  <c r="C23" i="125"/>
  <c r="D10" i="124"/>
  <c r="D23" i="125"/>
  <c r="E10" i="124"/>
  <c r="B10" i="124"/>
  <c r="B23" i="125"/>
  <c r="F6" i="125"/>
  <c r="B14" i="106"/>
  <c r="G10" i="124"/>
  <c r="G23" i="125"/>
  <c r="B13" i="125"/>
  <c r="B18" i="106"/>
  <c r="B14" i="125"/>
  <c r="B20" i="106"/>
  <c r="I10" i="124"/>
  <c r="K23" i="125"/>
  <c r="J10" i="124"/>
  <c r="L23" i="125"/>
  <c r="I6" i="124"/>
  <c r="K21" i="125"/>
  <c r="U49" i="98"/>
  <c r="AM34" i="126"/>
  <c r="AE35" i="129"/>
  <c r="G2" i="129"/>
  <c r="D2" i="125"/>
  <c r="B2" i="129"/>
  <c r="B2" i="125"/>
  <c r="AU46" i="129"/>
  <c r="H37" i="129"/>
  <c r="K24" i="128"/>
  <c r="P34" i="126"/>
  <c r="AU47" i="127"/>
  <c r="AU29" i="129"/>
  <c r="O43" i="129"/>
  <c r="K13" i="129"/>
  <c r="H18" i="128"/>
  <c r="AO2" i="83"/>
  <c r="AO2" i="129"/>
  <c r="B46" i="129"/>
  <c r="B4" i="129"/>
  <c r="V27" i="98"/>
  <c r="AO2" i="106"/>
  <c r="F34" i="126"/>
  <c r="AU36" i="128"/>
  <c r="K13" i="128"/>
  <c r="O43" i="128"/>
  <c r="AU32" i="128"/>
  <c r="K37" i="128" s="1"/>
  <c r="K23" i="128"/>
  <c r="AU33" i="128"/>
  <c r="W23" i="128"/>
  <c r="W7" i="106"/>
  <c r="AU34" i="128"/>
  <c r="AJ23" i="128"/>
  <c r="AG31" i="127"/>
  <c r="N31" i="127"/>
  <c r="AO2" i="98"/>
  <c r="AU29" i="128"/>
  <c r="AU30" i="127"/>
  <c r="O46" i="127"/>
  <c r="K13" i="127"/>
  <c r="AD41" i="127"/>
  <c r="K41" i="127"/>
  <c r="B4" i="106"/>
  <c r="B4" i="127"/>
  <c r="B49" i="127"/>
  <c r="B4" i="128"/>
  <c r="B46" i="128"/>
  <c r="F39" i="127"/>
  <c r="AU42" i="127"/>
  <c r="AP31" i="127"/>
  <c r="V31" i="127"/>
  <c r="B2" i="126"/>
  <c r="B2" i="127"/>
  <c r="B2" i="128"/>
  <c r="G2" i="126"/>
  <c r="G2" i="128"/>
  <c r="G2" i="127"/>
  <c r="K8" i="126"/>
  <c r="K8" i="128"/>
  <c r="K8" i="127"/>
  <c r="N39" i="127"/>
  <c r="AU43" i="127"/>
  <c r="AG38" i="127"/>
  <c r="U47" i="126"/>
  <c r="U48" i="128"/>
  <c r="U51" i="127"/>
  <c r="AP38" i="127"/>
  <c r="AU44" i="127"/>
  <c r="V39" i="127"/>
  <c r="S41" i="127"/>
  <c r="AM41" i="127"/>
  <c r="F31" i="127"/>
  <c r="C41" i="127"/>
  <c r="AO2" i="126"/>
  <c r="AO2" i="127"/>
  <c r="AO2" i="128"/>
  <c r="K10" i="126"/>
  <c r="K10" i="127"/>
  <c r="K10" i="128"/>
  <c r="AI2" i="126"/>
  <c r="AI2" i="127"/>
  <c r="AI2" i="128"/>
  <c r="AA2" i="126"/>
  <c r="AA2" i="128"/>
  <c r="AA2" i="127"/>
  <c r="L23" i="127"/>
  <c r="AL23" i="127"/>
  <c r="AJ36" i="126"/>
  <c r="B4" i="98"/>
  <c r="B2" i="98"/>
  <c r="B2" i="106"/>
  <c r="AI2" i="83"/>
  <c r="B2" i="83"/>
  <c r="K8" i="98"/>
  <c r="AA2" i="83"/>
  <c r="AA2" i="98"/>
  <c r="AI2" i="106"/>
  <c r="AU35" i="98"/>
  <c r="S36" i="98" s="1"/>
  <c r="AU36" i="98"/>
  <c r="AI36" i="98" s="1"/>
  <c r="B47" i="98"/>
  <c r="B4" i="126"/>
  <c r="B45" i="126"/>
  <c r="O42" i="126"/>
  <c r="AU31" i="126"/>
  <c r="AU31" i="98"/>
  <c r="K13" i="126"/>
  <c r="K13" i="98"/>
  <c r="O44" i="98"/>
  <c r="K10" i="98"/>
  <c r="G2" i="106"/>
  <c r="B4" i="83"/>
  <c r="AI2" i="98"/>
  <c r="H37" i="98"/>
  <c r="AU34" i="98"/>
  <c r="H27" i="98"/>
  <c r="H38" i="124"/>
  <c r="H74" i="124"/>
  <c r="H48" i="124"/>
  <c r="H83" i="124"/>
  <c r="H13" i="124"/>
  <c r="H49" i="124"/>
  <c r="H84" i="124"/>
  <c r="H14" i="124"/>
  <c r="H50" i="124"/>
  <c r="H85" i="124"/>
  <c r="H23" i="124"/>
  <c r="H59" i="124"/>
  <c r="H86" i="124"/>
  <c r="H24" i="124"/>
  <c r="H25" i="124"/>
  <c r="H61" i="124"/>
  <c r="H95" i="124"/>
  <c r="H26" i="124"/>
  <c r="H62" i="124"/>
  <c r="H96" i="124"/>
  <c r="H35" i="124"/>
  <c r="H71" i="124"/>
  <c r="H36" i="124"/>
  <c r="H72" i="124"/>
  <c r="H37" i="124"/>
  <c r="H73" i="124"/>
  <c r="H15" i="124"/>
  <c r="H27" i="124"/>
  <c r="H39" i="124"/>
  <c r="H51" i="124"/>
  <c r="H63" i="124"/>
  <c r="H75" i="124"/>
  <c r="H87" i="124"/>
  <c r="H16" i="124"/>
  <c r="H28" i="124"/>
  <c r="H40" i="124"/>
  <c r="H52" i="124"/>
  <c r="H64" i="124"/>
  <c r="H76" i="124"/>
  <c r="H88" i="124"/>
  <c r="H17" i="124"/>
  <c r="H29" i="124"/>
  <c r="H41" i="124"/>
  <c r="H53" i="124"/>
  <c r="H65" i="124"/>
  <c r="H89" i="124"/>
  <c r="H18" i="124"/>
  <c r="H30" i="124"/>
  <c r="H42" i="124"/>
  <c r="H54" i="124"/>
  <c r="H66" i="124"/>
  <c r="H78" i="124"/>
  <c r="H19" i="124"/>
  <c r="H31" i="124"/>
  <c r="H43" i="124"/>
  <c r="H55" i="124"/>
  <c r="H67" i="124"/>
  <c r="H79" i="124"/>
  <c r="H91" i="124"/>
  <c r="H20" i="124"/>
  <c r="H32" i="124"/>
  <c r="H44" i="124"/>
  <c r="H56" i="124"/>
  <c r="H68" i="124"/>
  <c r="H80" i="124"/>
  <c r="H92" i="124"/>
  <c r="H21" i="124"/>
  <c r="H33" i="124"/>
  <c r="H45" i="124"/>
  <c r="H57" i="124"/>
  <c r="H69" i="124"/>
  <c r="H81" i="124"/>
  <c r="H93" i="124"/>
  <c r="H22" i="124"/>
  <c r="H34" i="124"/>
  <c r="H46" i="124"/>
  <c r="H58" i="124"/>
  <c r="H70" i="124"/>
  <c r="H82" i="124"/>
  <c r="H94" i="124"/>
  <c r="H11" i="124"/>
  <c r="H12" i="124"/>
  <c r="G2" i="98"/>
  <c r="G2" i="83"/>
  <c r="AW44" i="98" l="1"/>
  <c r="AJ37" i="128"/>
  <c r="AV33" i="98"/>
  <c r="W37" i="128"/>
  <c r="AV32" i="128"/>
  <c r="AV34" i="98" s="1"/>
  <c r="AV38" i="129"/>
  <c r="AV37" i="129"/>
  <c r="AV47" i="127"/>
  <c r="AA36" i="98"/>
  <c r="AV45" i="98" s="1"/>
  <c r="AV43" i="98" s="1"/>
  <c r="AJ42" i="98"/>
  <c r="T42" i="98"/>
  <c r="AB42" i="98"/>
  <c r="O46" i="124" l="1"/>
  <c r="H39" i="122" s="1"/>
  <c r="O37" i="124"/>
  <c r="H30" i="122" s="1"/>
  <c r="O36" i="124"/>
  <c r="H29" i="122" s="1"/>
  <c r="O26" i="124"/>
  <c r="O41" i="124"/>
  <c r="O43" i="124"/>
  <c r="H36" i="122" s="1"/>
  <c r="O30" i="124"/>
  <c r="H23" i="122" s="1"/>
  <c r="O12" i="124"/>
  <c r="H5" i="122" s="1"/>
  <c r="O38" i="124"/>
  <c r="H31" i="122" s="1"/>
  <c r="O45" i="124"/>
  <c r="H38" i="122" s="1"/>
  <c r="O40" i="124"/>
  <c r="H33" i="122" s="1"/>
  <c r="O44" i="124"/>
  <c r="H37" i="122" s="1"/>
  <c r="O21" i="124"/>
  <c r="H14" i="122" s="1"/>
  <c r="O15" i="124"/>
  <c r="H8" i="122" s="1"/>
  <c r="O18" i="124"/>
  <c r="H11" i="122" s="1"/>
  <c r="O28" i="124"/>
  <c r="H21" i="122" s="1"/>
  <c r="O16" i="124"/>
  <c r="O39" i="124"/>
  <c r="H32" i="122" s="1"/>
  <c r="O14" i="124"/>
  <c r="H7" i="122" s="1"/>
  <c r="O42" i="124"/>
  <c r="H35" i="122" s="1"/>
  <c r="O20" i="124"/>
  <c r="H13" i="122" s="1"/>
  <c r="O17" i="124"/>
  <c r="H10" i="122" s="1"/>
  <c r="O35" i="124"/>
  <c r="H28" i="122" s="1"/>
  <c r="O32" i="124"/>
  <c r="H25" i="122" s="1"/>
  <c r="O24" i="124"/>
  <c r="O27" i="124"/>
  <c r="H20" i="122" s="1"/>
  <c r="O11" i="124"/>
  <c r="H4" i="122" s="1"/>
  <c r="J4" i="122" s="1"/>
  <c r="O33" i="124"/>
  <c r="H26" i="122" s="1"/>
  <c r="O25" i="124"/>
  <c r="O19" i="124"/>
  <c r="H12" i="122" s="1"/>
  <c r="O23" i="124"/>
  <c r="H16" i="122" s="1"/>
  <c r="O22" i="124"/>
  <c r="H15" i="122" s="1"/>
  <c r="O31" i="124"/>
  <c r="H24" i="122" s="1"/>
  <c r="O13" i="124"/>
  <c r="H6" i="122" s="1"/>
  <c r="O34" i="124"/>
  <c r="H27" i="122" s="1"/>
  <c r="O29" i="124"/>
  <c r="H22" i="122" s="1"/>
  <c r="P97" i="124"/>
  <c r="P99" i="124"/>
  <c r="P98" i="124"/>
  <c r="H34" i="122"/>
  <c r="O59" i="124"/>
  <c r="H51" i="122" s="1"/>
  <c r="O54" i="124"/>
  <c r="H46" i="122" s="1"/>
  <c r="O53" i="124"/>
  <c r="H45" i="122" s="1"/>
  <c r="O51" i="124"/>
  <c r="H43" i="122" s="1"/>
  <c r="O49" i="124"/>
  <c r="H41" i="122" s="1"/>
  <c r="O58" i="124"/>
  <c r="H50" i="122" s="1"/>
  <c r="O57" i="124"/>
  <c r="H49" i="122" s="1"/>
  <c r="O56" i="124"/>
  <c r="H48" i="122" s="1"/>
  <c r="O52" i="124"/>
  <c r="H44" i="122" s="1"/>
  <c r="O50" i="124"/>
  <c r="H42" i="122" s="1"/>
  <c r="O48" i="124"/>
  <c r="H40" i="122" s="1"/>
  <c r="O55" i="124"/>
  <c r="H47" i="122" s="1"/>
  <c r="P94" i="124"/>
  <c r="P92" i="124"/>
  <c r="P96" i="124"/>
  <c r="P95" i="124"/>
  <c r="P93" i="124"/>
  <c r="P91" i="124"/>
  <c r="P66" i="124"/>
  <c r="P67" i="124"/>
  <c r="P64" i="124"/>
  <c r="P61" i="124"/>
  <c r="P65" i="124"/>
  <c r="P62" i="124"/>
  <c r="P63" i="124"/>
  <c r="P72" i="124"/>
  <c r="P74" i="124"/>
  <c r="P68" i="124"/>
  <c r="P73" i="124"/>
  <c r="P70" i="124"/>
  <c r="P69" i="124"/>
  <c r="P71" i="124"/>
  <c r="P76" i="124"/>
  <c r="P75" i="124"/>
  <c r="AW34" i="98"/>
  <c r="H9" i="122"/>
  <c r="H18" i="122"/>
  <c r="H17" i="122"/>
  <c r="H19" i="122"/>
  <c r="Q103" i="124" l="1"/>
  <c r="O103" i="124" s="1"/>
  <c r="H91" i="122" s="1"/>
  <c r="Q101" i="124"/>
  <c r="O101" i="124" s="1"/>
  <c r="Q99" i="124"/>
  <c r="Q98" i="124"/>
  <c r="Q97" i="124"/>
  <c r="Q76" i="124"/>
  <c r="Q64" i="124"/>
  <c r="Q62" i="124"/>
  <c r="Q61" i="124"/>
  <c r="Q71" i="124"/>
  <c r="Q69" i="124"/>
  <c r="Q68" i="124"/>
  <c r="Q66" i="124"/>
  <c r="Q75" i="124"/>
  <c r="Q63" i="124"/>
  <c r="Q74" i="124"/>
  <c r="Q73" i="124"/>
  <c r="Q72" i="124"/>
  <c r="Q70" i="124"/>
  <c r="Q67" i="124"/>
  <c r="Q65" i="124"/>
  <c r="Q93" i="124"/>
  <c r="Q91" i="124"/>
  <c r="H92" i="122"/>
  <c r="Q95" i="124"/>
  <c r="Q94" i="124"/>
  <c r="Q92" i="124"/>
  <c r="Q96" i="124"/>
  <c r="Q87" i="124"/>
  <c r="Q84" i="124"/>
  <c r="Q80" i="124"/>
  <c r="Q89" i="124"/>
  <c r="Q88" i="124"/>
  <c r="Q86" i="124"/>
  <c r="Q85" i="124"/>
  <c r="Q83" i="124"/>
  <c r="Q82" i="124"/>
  <c r="Q81" i="124"/>
  <c r="Q79" i="124"/>
  <c r="Q78" i="124"/>
  <c r="J5" i="122"/>
  <c r="J6" i="122" s="1"/>
  <c r="J7" i="122" s="1"/>
  <c r="J8" i="122" s="1"/>
  <c r="J9" i="122" s="1"/>
  <c r="J10" i="122" s="1"/>
  <c r="J11" i="122" s="1"/>
  <c r="J12" i="122" s="1"/>
  <c r="J13" i="122" s="1"/>
  <c r="J14" i="122" s="1"/>
  <c r="J15" i="122" s="1"/>
  <c r="J16" i="122" s="1"/>
  <c r="J17" i="122" s="1"/>
  <c r="J18" i="122" s="1"/>
  <c r="J19" i="122" s="1"/>
  <c r="J20" i="122" s="1"/>
  <c r="J21" i="122" s="1"/>
  <c r="J22" i="122" s="1"/>
  <c r="J23" i="122" s="1"/>
  <c r="J24" i="122" s="1"/>
  <c r="J25" i="122" s="1"/>
  <c r="J26" i="122" s="1"/>
  <c r="J27" i="122" s="1"/>
  <c r="J28" i="122" s="1"/>
  <c r="J29" i="122" s="1"/>
  <c r="J30" i="122" s="1"/>
  <c r="J31" i="122" s="1"/>
  <c r="J32" i="122" s="1"/>
  <c r="J33" i="122" s="1"/>
  <c r="J34" i="122" s="1"/>
  <c r="J35" i="122" s="1"/>
  <c r="J36" i="122" s="1"/>
  <c r="J37" i="122" s="1"/>
  <c r="J38" i="122" s="1"/>
  <c r="J39" i="122" s="1"/>
  <c r="J40" i="122" s="1"/>
  <c r="J41" i="122" s="1"/>
  <c r="J42" i="122" s="1"/>
  <c r="J43" i="122" s="1"/>
  <c r="J44" i="122" s="1"/>
  <c r="J45" i="122" s="1"/>
  <c r="J46" i="122" s="1"/>
  <c r="J47" i="122" s="1"/>
  <c r="J48" i="122" s="1"/>
  <c r="J49" i="122" s="1"/>
  <c r="J50" i="122" s="1"/>
  <c r="J51" i="122" s="1"/>
  <c r="O105" i="124" l="1"/>
  <c r="H93" i="122" s="1"/>
  <c r="H89" i="122"/>
  <c r="O91" i="124"/>
  <c r="H80" i="122" s="1"/>
  <c r="O82" i="124"/>
  <c r="H72" i="122" s="1"/>
  <c r="O94" i="124"/>
  <c r="H83" i="122" s="1"/>
  <c r="O75" i="124"/>
  <c r="H66" i="122" s="1"/>
  <c r="O83" i="124"/>
  <c r="H73" i="122" s="1"/>
  <c r="O95" i="124"/>
  <c r="H84" i="122" s="1"/>
  <c r="O66" i="124"/>
  <c r="H57" i="122" s="1"/>
  <c r="O85" i="124"/>
  <c r="H75" i="122" s="1"/>
  <c r="O68" i="124"/>
  <c r="H59" i="122" s="1"/>
  <c r="O86" i="124"/>
  <c r="H76" i="122" s="1"/>
  <c r="O93" i="124"/>
  <c r="H82" i="122" s="1"/>
  <c r="O65" i="124"/>
  <c r="H56" i="122" s="1"/>
  <c r="O67" i="124"/>
  <c r="H58" i="122" s="1"/>
  <c r="O62" i="124"/>
  <c r="H53" i="122" s="1"/>
  <c r="O69" i="124"/>
  <c r="H60" i="122" s="1"/>
  <c r="O88" i="124"/>
  <c r="H78" i="122" s="1"/>
  <c r="O71" i="124"/>
  <c r="H62" i="122" s="1"/>
  <c r="O89" i="124"/>
  <c r="H79" i="122" s="1"/>
  <c r="O61" i="124"/>
  <c r="H52" i="122" s="1"/>
  <c r="J52" i="122" s="1"/>
  <c r="O80" i="124"/>
  <c r="H70" i="122" s="1"/>
  <c r="O84" i="124"/>
  <c r="H74" i="122" s="1"/>
  <c r="O70" i="124"/>
  <c r="H61" i="122" s="1"/>
  <c r="O64" i="124"/>
  <c r="H55" i="122" s="1"/>
  <c r="O79" i="124"/>
  <c r="H69" i="122" s="1"/>
  <c r="O87" i="124"/>
  <c r="H77" i="122" s="1"/>
  <c r="O72" i="124"/>
  <c r="H63" i="122" s="1"/>
  <c r="O76" i="124"/>
  <c r="H67" i="122" s="1"/>
  <c r="O78" i="124"/>
  <c r="H68" i="122" s="1"/>
  <c r="O96" i="124"/>
  <c r="H85" i="122" s="1"/>
  <c r="O73" i="124"/>
  <c r="H64" i="122" s="1"/>
  <c r="O97" i="124"/>
  <c r="H86" i="122" s="1"/>
  <c r="O74" i="124"/>
  <c r="H65" i="122" s="1"/>
  <c r="O98" i="124"/>
  <c r="H87" i="122" s="1"/>
  <c r="O81" i="124"/>
  <c r="H71" i="122" s="1"/>
  <c r="O92" i="124"/>
  <c r="H81" i="122" s="1"/>
  <c r="O63" i="124"/>
  <c r="H54" i="122" s="1"/>
  <c r="O99" i="124"/>
  <c r="H88" i="122" s="1"/>
  <c r="J53" i="122" l="1"/>
  <c r="J54" i="122" s="1"/>
  <c r="J55" i="122" s="1"/>
  <c r="J56" i="122" s="1"/>
  <c r="J57" i="122" s="1"/>
  <c r="J58" i="122" s="1"/>
  <c r="J59" i="122" s="1"/>
  <c r="J60" i="122" s="1"/>
  <c r="J61" i="122" s="1"/>
  <c r="J62" i="122" s="1"/>
  <c r="J63" i="122" s="1"/>
  <c r="J64" i="122" s="1"/>
  <c r="J65" i="122" s="1"/>
  <c r="J66" i="122" s="1"/>
  <c r="J67" i="122" s="1"/>
  <c r="J68" i="122" s="1"/>
  <c r="J69" i="122" s="1"/>
  <c r="J70" i="122" s="1"/>
  <c r="J71" i="122" s="1"/>
  <c r="J72" i="122" s="1"/>
  <c r="J73" i="122" s="1"/>
  <c r="J74" i="122" s="1"/>
  <c r="J75" i="122" s="1"/>
  <c r="J76" i="122" s="1"/>
  <c r="J77" i="122" s="1"/>
  <c r="J78" i="122" s="1"/>
  <c r="J79" i="122" s="1"/>
  <c r="J80" i="122" s="1"/>
  <c r="J81" i="122" s="1"/>
  <c r="J82" i="122" s="1"/>
  <c r="J83" i="122" s="1"/>
  <c r="J84" i="122" s="1"/>
  <c r="J85" i="122" s="1"/>
  <c r="J86" i="122" s="1"/>
  <c r="J87" i="122" s="1"/>
  <c r="J88" i="122" s="1"/>
  <c r="J89" i="122" s="1"/>
  <c r="J90" i="122" s="1"/>
  <c r="J91" i="122" s="1"/>
  <c r="J92" i="122" s="1"/>
  <c r="J93" i="122" s="1"/>
  <c r="J94" i="122" s="1"/>
  <c r="C4" i="122" s="1"/>
  <c r="C5" i="122" l="1"/>
  <c r="D5" i="122" s="1"/>
  <c r="B25" i="125" s="1"/>
  <c r="G25" i="125" s="1"/>
  <c r="D4" i="122"/>
  <c r="B24" i="125" s="1"/>
  <c r="G24" i="125" s="1"/>
  <c r="L24" i="125" l="1"/>
  <c r="N25" i="125"/>
  <c r="F25" i="125" s="1"/>
  <c r="H25" i="125"/>
  <c r="K25" i="125"/>
  <c r="E25" i="125"/>
  <c r="C24" i="125"/>
  <c r="H24" i="125"/>
  <c r="C25" i="125"/>
  <c r="D24" i="125"/>
  <c r="L25" i="125"/>
  <c r="D25" i="125"/>
  <c r="K24" i="125"/>
  <c r="E24" i="125"/>
  <c r="N24" i="125"/>
  <c r="F24" i="125" s="1"/>
  <c r="C6" i="122"/>
  <c r="D6" i="122" s="1"/>
  <c r="B26" i="125" s="1"/>
  <c r="G26" i="125" s="1"/>
  <c r="I24" i="125" l="1"/>
  <c r="H26" i="125"/>
  <c r="C26" i="125"/>
  <c r="K26" i="125"/>
  <c r="N26" i="125"/>
  <c r="F26" i="125" s="1"/>
  <c r="I26" i="125" s="1"/>
  <c r="D26" i="125"/>
  <c r="L26" i="125"/>
  <c r="E26" i="125"/>
  <c r="I25" i="125"/>
  <c r="C7" i="122"/>
  <c r="C8" i="122" s="1"/>
  <c r="D8" i="122" l="1"/>
  <c r="B28" i="125" s="1"/>
  <c r="G28" i="125" s="1"/>
  <c r="C9" i="122"/>
  <c r="D7" i="122"/>
  <c r="B27" i="125" s="1"/>
  <c r="G27" i="125" s="1"/>
  <c r="D9" i="122" l="1"/>
  <c r="B29" i="125" s="1"/>
  <c r="G29" i="125" s="1"/>
  <c r="C10" i="122"/>
  <c r="C11" i="122" s="1"/>
  <c r="K27" i="125"/>
  <c r="E27" i="125"/>
  <c r="H27" i="125"/>
  <c r="D27" i="125"/>
  <c r="N27" i="125"/>
  <c r="F27" i="125" s="1"/>
  <c r="C27" i="125"/>
  <c r="L27" i="125"/>
  <c r="K28" i="125"/>
  <c r="D28" i="125"/>
  <c r="C28" i="125"/>
  <c r="L28" i="125"/>
  <c r="N28" i="125"/>
  <c r="F28" i="125" s="1"/>
  <c r="E28" i="125"/>
  <c r="H28" i="125"/>
  <c r="I28" i="125" l="1"/>
  <c r="I27" i="125"/>
  <c r="D10" i="122"/>
  <c r="B30" i="125" s="1"/>
  <c r="G30" i="125" s="1"/>
  <c r="D11" i="122"/>
  <c r="B31" i="125" s="1"/>
  <c r="G31" i="125" s="1"/>
  <c r="C12" i="122"/>
  <c r="E29" i="125"/>
  <c r="H29" i="125"/>
  <c r="C29" i="125"/>
  <c r="N29" i="125"/>
  <c r="F29" i="125" s="1"/>
  <c r="I29" i="125" s="1"/>
  <c r="L29" i="125"/>
  <c r="K29" i="125"/>
  <c r="D29" i="125"/>
  <c r="D30" i="125" l="1"/>
  <c r="H30" i="125"/>
  <c r="N30" i="125"/>
  <c r="F30" i="125" s="1"/>
  <c r="I30" i="125" s="1"/>
  <c r="K30" i="125"/>
  <c r="C30" i="125"/>
  <c r="L30" i="125"/>
  <c r="E30" i="125"/>
  <c r="D12" i="122"/>
  <c r="B32" i="125" s="1"/>
  <c r="G32" i="125" s="1"/>
  <c r="C13" i="122"/>
  <c r="C14" i="122" s="1"/>
  <c r="D14" i="122" s="1"/>
  <c r="B34" i="125" s="1"/>
  <c r="G34" i="125" s="1"/>
  <c r="N31" i="125"/>
  <c r="F31" i="125" s="1"/>
  <c r="I31" i="125" s="1"/>
  <c r="C31" i="125"/>
  <c r="L31" i="125"/>
  <c r="E31" i="125"/>
  <c r="H31" i="125"/>
  <c r="K31" i="125"/>
  <c r="D31" i="125"/>
  <c r="N34" i="125" l="1"/>
  <c r="F34" i="125" s="1"/>
  <c r="I34" i="125" s="1"/>
  <c r="H34" i="125"/>
  <c r="D13" i="122"/>
  <c r="B33" i="125" s="1"/>
  <c r="G33" i="125" s="1"/>
  <c r="C15" i="122"/>
  <c r="D15" i="122" s="1"/>
  <c r="B35" i="125" s="1"/>
  <c r="G35" i="125" s="1"/>
  <c r="K34" i="125"/>
  <c r="C34" i="125"/>
  <c r="L34" i="125"/>
  <c r="D34" i="125"/>
  <c r="E34" i="125"/>
  <c r="E32" i="125"/>
  <c r="H32" i="125"/>
  <c r="D32" i="125"/>
  <c r="L32" i="125"/>
  <c r="K32" i="125"/>
  <c r="C32" i="125"/>
  <c r="N32" i="125"/>
  <c r="F32" i="125" s="1"/>
  <c r="I32" i="125" s="1"/>
  <c r="C35" i="125" l="1"/>
  <c r="H35" i="125"/>
  <c r="D33" i="125"/>
  <c r="K35" i="125"/>
  <c r="E35" i="125"/>
  <c r="E33" i="125"/>
  <c r="N33" i="125"/>
  <c r="F33" i="125" s="1"/>
  <c r="I33" i="125" s="1"/>
  <c r="L33" i="125"/>
  <c r="C33" i="125"/>
  <c r="K33" i="125"/>
  <c r="H33" i="125"/>
  <c r="C16" i="122"/>
  <c r="D16" i="122" s="1"/>
  <c r="B36" i="125" s="1"/>
  <c r="G36" i="125" s="1"/>
  <c r="N35" i="125"/>
  <c r="F35" i="125" s="1"/>
  <c r="I35" i="125" s="1"/>
  <c r="L35" i="125"/>
  <c r="D35" i="125"/>
  <c r="C17" i="122" l="1"/>
  <c r="D17" i="122" s="1"/>
  <c r="B37" i="125" s="1"/>
  <c r="G37" i="125" s="1"/>
  <c r="L36" i="125"/>
  <c r="H36" i="125"/>
  <c r="E36" i="125"/>
  <c r="C36" i="125"/>
  <c r="D36" i="125"/>
  <c r="K36" i="125"/>
  <c r="N36" i="125"/>
  <c r="F36" i="125" s="1"/>
  <c r="C18" i="122" l="1"/>
  <c r="D18" i="122" s="1"/>
  <c r="B38" i="125" s="1"/>
  <c r="E37" i="125"/>
  <c r="H37" i="125"/>
  <c r="N37" i="125"/>
  <c r="F37" i="125" s="1"/>
  <c r="I37" i="125" s="1"/>
  <c r="C37" i="125"/>
  <c r="D37" i="125"/>
  <c r="K37" i="125"/>
  <c r="L37" i="125"/>
  <c r="I36" i="125"/>
  <c r="G38" i="125" l="1"/>
  <c r="H38" i="125" s="1"/>
  <c r="C19" i="122"/>
  <c r="D19" i="122" s="1"/>
  <c r="B39" i="125" s="1"/>
  <c r="C38" i="125"/>
  <c r="D38" i="125"/>
  <c r="N38" i="125"/>
  <c r="F38" i="125" s="1"/>
  <c r="I38" i="125" s="1"/>
  <c r="K38" i="125"/>
  <c r="E38" i="125"/>
  <c r="L38" i="125"/>
  <c r="G39" i="125" l="1"/>
  <c r="H39" i="125" s="1"/>
  <c r="C39" i="125"/>
  <c r="K39" i="125"/>
  <c r="C20" i="122"/>
  <c r="D20" i="122" s="1"/>
  <c r="B40" i="125" s="1"/>
  <c r="D39" i="125"/>
  <c r="E39" i="125"/>
  <c r="N39" i="125"/>
  <c r="F39" i="125" s="1"/>
  <c r="I39" i="125" s="1"/>
  <c r="L39" i="125"/>
  <c r="G40" i="125" l="1"/>
  <c r="H40" i="125" s="1"/>
  <c r="C21" i="122"/>
  <c r="D21" i="122" s="1"/>
  <c r="B41" i="125" s="1"/>
  <c r="C40" i="125"/>
  <c r="L40" i="125"/>
  <c r="D40" i="125"/>
  <c r="N40" i="125"/>
  <c r="F40" i="125" s="1"/>
  <c r="I40" i="125" s="1"/>
  <c r="K40" i="125"/>
  <c r="E40" i="125"/>
  <c r="G41" i="125" l="1"/>
  <c r="H41" i="125" s="1"/>
  <c r="C22" i="122"/>
  <c r="C23" i="122" s="1"/>
  <c r="D23" i="122" s="1"/>
  <c r="B43" i="125" s="1"/>
  <c r="G43" i="125" s="1"/>
  <c r="L41" i="125"/>
  <c r="N41" i="125"/>
  <c r="F41" i="125" s="1"/>
  <c r="I41" i="125" s="1"/>
  <c r="C41" i="125"/>
  <c r="D41" i="125"/>
  <c r="E41" i="125"/>
  <c r="K41" i="125"/>
  <c r="D22" i="122" l="1"/>
  <c r="B42" i="125" s="1"/>
  <c r="E43" i="125"/>
  <c r="C43" i="125"/>
  <c r="L43" i="125"/>
  <c r="D43" i="125"/>
  <c r="K43" i="125"/>
  <c r="H43" i="125"/>
  <c r="N43" i="125"/>
  <c r="F43" i="125" s="1"/>
  <c r="I43" i="125" s="1"/>
  <c r="G42" i="125" l="1"/>
  <c r="H42" i="125" s="1"/>
  <c r="L42" i="125"/>
  <c r="C42" i="125"/>
  <c r="E42" i="125"/>
  <c r="N42" i="125"/>
  <c r="F42" i="125" s="1"/>
  <c r="I42" i="125" s="1"/>
  <c r="G45" i="125" s="1"/>
  <c r="D42" i="125"/>
  <c r="K42" i="1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Kopenec Jiří</author>
  </authors>
  <commentList>
    <comment ref="E10" authorId="0" shapeId="0" xr:uid="{23C8E8C6-E62F-46BF-84AE-C4FC7DB7ECB3}">
      <text>
        <r>
          <rPr>
            <b/>
            <sz val="9"/>
            <color indexed="81"/>
            <rFont val="Tahoma"/>
            <family val="2"/>
            <charset val="238"/>
          </rPr>
          <t>Keď tu nebude sybol skladu JE NUTNÉ, aby tu bola medzera. Nemôže byť bunka prázdna</t>
        </r>
      </text>
    </comment>
  </commentList>
</comments>
</file>

<file path=xl/sharedStrings.xml><?xml version="1.0" encoding="utf-8"?>
<sst xmlns="http://schemas.openxmlformats.org/spreadsheetml/2006/main" count="2616" uniqueCount="1074">
  <si>
    <t>TopLine XL</t>
  </si>
  <si>
    <t>TopLine L</t>
  </si>
  <si>
    <t>WingLine L</t>
  </si>
  <si>
    <t>WING LINE L</t>
  </si>
  <si>
    <t>1. riadok</t>
  </si>
  <si>
    <t>2. riadok</t>
  </si>
  <si>
    <t>CELKOM</t>
  </si>
  <si>
    <t>...bez otočenia kvôli spodnému profilu</t>
  </si>
  <si>
    <t>hmotnosť</t>
  </si>
  <si>
    <t>profily</t>
  </si>
  <si>
    <t>...bez spodného profilu</t>
  </si>
  <si>
    <t>Push to move</t>
  </si>
  <si>
    <t>Pull to move</t>
  </si>
  <si>
    <t>Pull to move Silent</t>
  </si>
  <si>
    <t>hettich.com/short/ayxce5w</t>
  </si>
  <si>
    <t>hettich.com/short/xbqvp8y</t>
  </si>
  <si>
    <t>hettich.com/short/t9k10cz</t>
  </si>
  <si>
    <t>hettich.com/short/p3jxl9u</t>
  </si>
  <si>
    <t>počet ks :</t>
  </si>
  <si>
    <t>výška dverí</t>
  </si>
  <si>
    <t>počet</t>
  </si>
  <si>
    <t>2-záv</t>
  </si>
  <si>
    <t>3-záv</t>
  </si>
  <si>
    <t>toto sú položky, z ktorých aspoň jedna musí byť objednaná. Preto je tu iný vzoreček</t>
  </si>
  <si>
    <t>kontrolný riadok</t>
  </si>
  <si>
    <t>Konfigurátor   WING LINE L</t>
  </si>
  <si>
    <t>kusy</t>
  </si>
  <si>
    <t xml:space="preserve"> </t>
  </si>
  <si>
    <t>CZ text</t>
  </si>
  <si>
    <t>CZ cena</t>
  </si>
  <si>
    <t>SK text</t>
  </si>
  <si>
    <t>EUR cena</t>
  </si>
  <si>
    <t>HU text</t>
  </si>
  <si>
    <t xml:space="preserve"> Úvod</t>
  </si>
  <si>
    <t>Hettich ČR k.s.</t>
  </si>
  <si>
    <t>Jihlavská 3</t>
  </si>
  <si>
    <t>591 01  Žďár nad Sázavou</t>
  </si>
  <si>
    <t>tel. (+421) 032 65 83 885</t>
  </si>
  <si>
    <t>fax (+420) 032 65 83 884</t>
  </si>
  <si>
    <t>hcr-objednavkysr@hettich.com</t>
  </si>
  <si>
    <t xml:space="preserve"> =SVYHLEDAT(B10;'[Ceník 2024_10_3200819_CZK_pracovní V3-poloOK.xlsx]CENÍK_2024_11'!$A$2:$G$95000;2;NEPRAVDA)</t>
  </si>
  <si>
    <t xml:space="preserve"> =SVYHLEDAT(B10;'[Ceník 2024_10_3200819_CZK_pracovní V3-poloOK.xlsx]CENÍK_2024_11'!$A$2:$G$95000;6;NEPRAVDA)/100</t>
  </si>
  <si>
    <t xml:space="preserve"> =SVYHLEDAT(B10;'[Ceník 2024_10_3200819_CZK_pracovní V3-poloOK.xlsx]CENÍK_2024_11'!$A$2:$G$95000;7;NEPRAVDA)/100</t>
  </si>
  <si>
    <t>WINGLINE L NEW DO 25 KG, SE ZAVÍRACÍMI PRUŽINAMI, S DOLNÍM VEDENÍM, SADA LEVÁ ŠEDÁ</t>
  </si>
  <si>
    <t>WL L-sada kov./ľavá/25kg /s pruž./sivá</t>
  </si>
  <si>
    <t>WINGLINE L NEW DO 25 KG, SE ZAVÍRACÍMI PRUŽINAMI, S DOLNÍM VEDENÍM, SADA LEVÁ BÍLÁ</t>
  </si>
  <si>
    <t>WL L-sada kov./ľavá/25kg /s pruž./biela</t>
  </si>
  <si>
    <t>WINGLINE L NEW DO 25 KG, SE ZAVÍRACÍMI PRUŽINAMI, S DOLNÍM VEDENÍM, SADA LEVÁ ANTRACIT</t>
  </si>
  <si>
    <t>WL L-sada kov./ľavá/25kg /s pruž./antr.</t>
  </si>
  <si>
    <t>WINGLINE L NEW DO 25 KG, BEZ ZAVÍRACÍCH PRUŽIN, S DOLNÍM VEDENÍM, SADA LEVÁ ŠEDÁ</t>
  </si>
  <si>
    <t>WL L-sada kov./ľavá/25kg /bez pruž./sivá</t>
  </si>
  <si>
    <t>WINGLINE L NEW DO 25 KG, BEZ ZAVÍRACÍCH PRUŽIN, S DOLNÍM VEDENÍM, SADA LEVÁ BÍLÁ</t>
  </si>
  <si>
    <t>WL L-sada kov./ľavá/25kg /bez pruž./biela</t>
  </si>
  <si>
    <t>WINGLINE L NEW DO 25 KG, BEZ ZAVÍRACÍCH PRUŽIN, S DOLNÍM VEDENÍM, SADA LEVÁ ANTRACIT</t>
  </si>
  <si>
    <t>WL L-sada kov./ľavá/25kg /bez pruž./antr.</t>
  </si>
  <si>
    <t>WINGLINE L NEW DO 25 KG, SE ZAVÍRACÍMI PRUŽINAMI, S DOLNÍM VEDENÍM, SADA PRAVÁ ŠEDÁ</t>
  </si>
  <si>
    <t>WL L-sada kov./pravá/25kg /s pruž./sivá</t>
  </si>
  <si>
    <t>WINGLINE L NEW DO 25 KG, SE ZAVÍRACÍMI PRUŽINAMI, S DOLNÍM VEDENÍM, SADA PRAVÁ BÍLÁ</t>
  </si>
  <si>
    <t>WL L-sada kov./pravá/25kg /s pruž./biela</t>
  </si>
  <si>
    <t>WINGLINE L NEW DO 25 KG, SE ZAVÍRACÍMI PRUŽINAMI, S DOLNÍM VEDENÍM, SADA PRAVÁ ANTRACIT</t>
  </si>
  <si>
    <t>WL L-sada kov./pravá/25kg /s pruž./antr.</t>
  </si>
  <si>
    <t>WINGLINE L NEW DO 25 KG, BEZ ZAVÍRACÍCH PRUŽIN, S DOLNÍM VEDENÍM, SADA PRAVÁ ŠEDÁ</t>
  </si>
  <si>
    <t>WL L-sada kov./pravá/25kg /bez pruž./sivá</t>
  </si>
  <si>
    <t>WINGLINE L NEW DO 25 KG, BEZ ZAVÍRACÍCH PRUŽIN, S DOLNÍM VEDENÍM, SADA PRAVÁ BÍLÁ</t>
  </si>
  <si>
    <t>WL L-sada kov./pravá/25kg /bez pruž./biela</t>
  </si>
  <si>
    <t>WINGLINE L NEW DO 25 KG, BEZ ZAVÍRACÍCH PRUŽIN, S DOLNÍM VEDENÍM, SADA PRAVÁ ANTRACIT</t>
  </si>
  <si>
    <t>WL L-sada kov./pravá/25kg /bez pruž./antr.</t>
  </si>
  <si>
    <t>WINGLINE L NEW DO 12 KG, SE ZAVÍRACÍMI PRUŽINAMI, S DOLNÍM VEDENÍM, SADA LEVÁ ŠEDÁ</t>
  </si>
  <si>
    <t>WL L-sada kov./ľavá/12kg /s pruž./sivá</t>
  </si>
  <si>
    <t>WINGLINE L NEW DO 12 KG, SE ZAVÍRACÍMI PRUŽINAMI, S DOLNÍM VEDENÍM, SADA LEVÁ BÍLÁ</t>
  </si>
  <si>
    <t>WL L-sada kov./ľavá/12kg /s pruž./biela</t>
  </si>
  <si>
    <t>WINGLINE L NEW DO 12 KG, SE ZAVÍRACÍMI PRUŽINAMI, S DOLNÍM VEDENÍM, SADA LEVÁ ANTRACIT</t>
  </si>
  <si>
    <t>WL L-sada kov./ľavá/12kg /s pruž./antr.</t>
  </si>
  <si>
    <t>WINGLINE L NEW DO 12 KG, BEZ ZAVÍRACÍCH PRUŽIN, S DOLNÍM VEDENÍM, SADA LEVÁ ŠEDÁ</t>
  </si>
  <si>
    <t>WL L-sada kov./ľavá/12kg/bez pruž./sivá</t>
  </si>
  <si>
    <t>WINGLINE L NEW DO 12 KG, BEZ ZAVÍRACÍCH PRUŽIN, S DOLNÍM VEDENÍM, SADA LEVÁ BÍLÁ</t>
  </si>
  <si>
    <t>WL L-sada kov./ľavá/12kg/bez pruž./biela</t>
  </si>
  <si>
    <t>WINGLINE L NEW DO 12 KG, BEZ ZAVÍRACÍCH PRUŽIN, S DOLNÍM VEDENÍM, SADA LEVÁ ANTRACIT</t>
  </si>
  <si>
    <t>WL L-sada kov./ľavá/12kg/bez pruž./antr.</t>
  </si>
  <si>
    <t>WINGLINE L NEW DO 12 KG, SE ZAVÍRACÍMI PRUŽINAMI, S DOLNÍM VEDENÍM, SADA PRAVÁ ŠEDÁ</t>
  </si>
  <si>
    <t>WL L-sada kov./pravá/12kg /s pruž./sivá</t>
  </si>
  <si>
    <t>WINGLINE L NEW DO 12 KG, SE ZAVÍRACÍMI PRUŽINAMI, S DOLNÍM VEDENÍM, SADA PRAVÁ BÍLÁ</t>
  </si>
  <si>
    <t>WL L-sada kov./pravá/12kg /s pruž./biela</t>
  </si>
  <si>
    <t>WINGLINE L NEW DO 12 KG, SE ZAVÍRACÍMI PRUŽINAMI, S DOLNÍM VEDENÍM, SADA PRAVÁ ANTRACIT</t>
  </si>
  <si>
    <t>WL L-sada kov./pravá/12kg /s pruž./antr.</t>
  </si>
  <si>
    <t>WINGLINE L NEW DO 12 KG, BEZ ZAVÍRACÍCH PRUŽIN, S DOLNÍM VEDENÍM, SADA PRAVÁ ŠEDÁ</t>
  </si>
  <si>
    <t>WL L-sada kov./pravá/12kg/bez pruž./sivá</t>
  </si>
  <si>
    <t>WINGLINE L NEW DO 12 KG, BEZ ZAVÍRACÍCH PRUŽIN, S DOLNÍM VEDENÍM, SADA PRAVÁ BÍLÁ</t>
  </si>
  <si>
    <t>WL L-sada kov./pravá/12kg/bez pruž./biela</t>
  </si>
  <si>
    <t>WINGLINE L NEW DO 12 KG, BEZ ZAVÍRACÍCH PRUŽIN, S DOLNÍM VEDENÍM, SADA PRAVÁ ANTRACIT</t>
  </si>
  <si>
    <t>WL L-sada kov./pravá/12kg/bez pruž./antr.</t>
  </si>
  <si>
    <t>WINGLINE L NEW DO 12 KG, SE ZAVÍRACÍMI PRUŽINAMI, BEZ DOLNÍHO VEDENÍ, SADA LEVÁ ŠEDÁ</t>
  </si>
  <si>
    <t>WL L-bez spod./ľavá/12kg/s pruž./sivá</t>
  </si>
  <si>
    <t>WINGLINE L NEW DO 12 KG, SE ZAVÍRACÍMI PRUŽINAMI, BEZ DOLNÍHO VEDENÍ, SADA LEVÁ BÍLÁ</t>
  </si>
  <si>
    <t>WL L-bez spod./ľavá/12kg/s pruž./biela</t>
  </si>
  <si>
    <t>WINGLINE L NEW DO 12 KG, SE ZAVÍRACÍMI PRUŽINAMI, BEZ DOLNÍHO VEDENÍ, SADA LEVÁ ANTRACIT</t>
  </si>
  <si>
    <t>WL L-bez spod./ľavá/12kg/s pruž./antr.</t>
  </si>
  <si>
    <t>WINGLINE L NEW DO 12 KG, BEZ ZAVÍRACÍCH PRUŽIN, BEZ DOLNÍHO VEDENÍ, SADA LEVÁ ŠEDÁ</t>
  </si>
  <si>
    <t>WL L-bez spod./ľavá/12kg/bez pruž./sivá</t>
  </si>
  <si>
    <t>WINGLINE L NEW DO 12 KG, BEZ ZAVÍRACÍCH PRUŽIN, BEZ DOLNÍHO VEDENÍ, SADA LEVÁ BÍLÁ</t>
  </si>
  <si>
    <t>WL L-bez spod./ľavá/12kg/bez pruž./biela</t>
  </si>
  <si>
    <t>WINGLINE L NEW DO 12 KG, BEZ ZAVÍRACÍCH PRUŽIN, BEZ DOLNÍHO VEDENÍ, SADA LEVÁ ANTRACIT</t>
  </si>
  <si>
    <t>WL L-bez spod./ľavá/12kg/bez pruž./antr.</t>
  </si>
  <si>
    <t>WINGLINE L NEW DO 12 KG, SE ZAVÍRACÍMI PRUŽINAMI, BEZ DOLNÍHO VEDENÍ, SADA PRAVÁ ŠEDÁ</t>
  </si>
  <si>
    <t>WL L-bez spod./pravá/12kg/s pruž./sivá</t>
  </si>
  <si>
    <t>WINGLINE L NEW DO 12 KG, SE ZAVÍRACÍMI PRUŽINAMI, BEZ DOLNÍHO VEDENÍ, SADA PRAVÁ BÍLÁ</t>
  </si>
  <si>
    <t>WL L-bez spod./pravá/12kg/s pruž./biela</t>
  </si>
  <si>
    <t>WINGLINE L NEW DO 12 KG, SE ZAVÍRACÍMI PRUŽINAMI, BEZ DOLNÍHO VEDENÍ, SADA PRAVÁ ANTRACIT</t>
  </si>
  <si>
    <t>WL L-bez spod./pravá/12kg/s pruž./antr.</t>
  </si>
  <si>
    <t>WINGLINE L NEW DO 12 KG, BEZ ZAVÍRACÍCH PRUŽIN, BEZ DOLNÍHO VEDENÍ, SADA PRAVÁ ŠEDÁ</t>
  </si>
  <si>
    <t>WL L-bez spod./pravá/12kg/bez pruž./sivá</t>
  </si>
  <si>
    <t>WINGLINE L NEW DO 12 KG, BEZ ZAVÍRACÍCH PRUŽIN, BEZ DOLNÍHO VEDENÍ, SADA PRAVÁ BÍLÁ</t>
  </si>
  <si>
    <t>WL L-bez spod./pravá/12kg/bez pruž./biela</t>
  </si>
  <si>
    <t>WINGLINE L NEW DO 12 KG, BEZ ZAVÍRACÍCH PRUŽIN, BEZ DOLNÍHO VEDENÍ, SADA PRAVÁ ANTRACIT</t>
  </si>
  <si>
    <t>WL L-bez spod./pravá/12kg/bez pruž./antr.</t>
  </si>
  <si>
    <t>WINGLINE L SADA PROFILŮ 1 NOSNÝ + 1 VODICÍ 1200 MM ALU ELOX.</t>
  </si>
  <si>
    <t>WL L-horný+spodný profil / 1,2m /strieb.</t>
  </si>
  <si>
    <t xml:space="preserve">WINGLINE L SADA PROFILŮ 1 NOSNÝ + 1 VODICÍ BÍLÝ 1200 MM </t>
  </si>
  <si>
    <t>WL L-horný+spodný profil / 1,2m /biela</t>
  </si>
  <si>
    <t>WINGLINE L SADA PROFILŮ 1 NOSNÝ + 1 VODICÍ 1200 MM ANTRACIT</t>
  </si>
  <si>
    <t>WL L-horný+spodný profil / 1,2m /antr.</t>
  </si>
  <si>
    <t>WINGLINE L SADA PROFILŮ 1 NOSNÝ + 1 VODICÍ 2400 MM ALU ELOX.</t>
  </si>
  <si>
    <t>WL L-horný+spodný profil / 2,4m /strieb.</t>
  </si>
  <si>
    <t xml:space="preserve">WINGLINE L SADA PROFILŮ 1 NOSNÝ + 1 VODICÍ BÍLÝ 2400 MM </t>
  </si>
  <si>
    <t>WL L-horný+spodný profil / 2,4m /biela</t>
  </si>
  <si>
    <t>WINGLINE L SADA PROFILŮ 1 NOSNÝ + 1 VODICÍ 2400 MM ANTRACIT</t>
  </si>
  <si>
    <t>WL L-horný+spodný profil / 2,4m /antr.</t>
  </si>
  <si>
    <t>WINGLINE L SADA NOSNÝ PROFIL 1200 MM ALU ELOX.</t>
  </si>
  <si>
    <t>WL L-horný profil / 1,2m /strieb.</t>
  </si>
  <si>
    <t>WINGLINE L NOSNÝ PROFIL 1200 MM BÍLÝ</t>
  </si>
  <si>
    <t>WL L-horný profil / 1,2m /biela</t>
  </si>
  <si>
    <t>WINGLINE L SADA NOSNÝ PROFIL 1200 MM ANTRACIT</t>
  </si>
  <si>
    <t>WL L-horný profil / 1,2m /antr.</t>
  </si>
  <si>
    <t>WINGLINE L SADA NOSNÝ PROFIL 2400 MM ALU ELOX.</t>
  </si>
  <si>
    <t>WL L-horný profil / 2,4m /strieb.</t>
  </si>
  <si>
    <t>WINGLINE L NOSNÝ PROFIL 2400 MM BÍLÝ</t>
  </si>
  <si>
    <t>WL L-horný profil / 2,4m /biela</t>
  </si>
  <si>
    <t>WINGLINE L SADA NOSNÝ PROFIL 2400 MM ANTRACIT</t>
  </si>
  <si>
    <t>WL L-horný profil / 2,4m /antr.</t>
  </si>
  <si>
    <t>STŘEDOVÝ ZÁVĚS SEŘIDITELNÝ, K NAŠROUBOVÁNÍ, SADA 2 KS</t>
  </si>
  <si>
    <t>Záves stredový k naskrutkovaniu=sada 2ks</t>
  </si>
  <si>
    <t>STŘEDOVÝ ZÁVĚS SEŘIDITELNÝ, K ZALISOVÁNÍ SADA 2 KS</t>
  </si>
  <si>
    <t>Záves stredový k nalisovaniu=sada 2ks</t>
  </si>
  <si>
    <t>STŘEDOVÝ ZÁVĚS SEŘIDITELNÝ, K NAŠROUBOVÁNÍ, SADA 3 KS</t>
  </si>
  <si>
    <t>Záves stredový k naskrutkovaniu=sada 3ks</t>
  </si>
  <si>
    <t>STŘEDOVÝ ZÁVĚS SEŘIDITELNÝ, K ZALISOVÁNÍ SADA 3 KS</t>
  </si>
  <si>
    <t>Záves stredový k nalisovaniu=sada 3ks</t>
  </si>
  <si>
    <t>WINGLINE L STŘEDOVÝ ZÁVĚS KLIPOVÝ SEŘIDITELNÝ SADA 2KS ŠEDÝ</t>
  </si>
  <si>
    <t>Záves stredový nastavit.sivý = sada 2ks</t>
  </si>
  <si>
    <t>WINGLINE L STŘEDOVÝ ZÁVĚS KLIPOVÝ SEŘIDITELNÝ SADA 2KS BÍLÝ</t>
  </si>
  <si>
    <t>Záves stredový nastavit.biely = sada 2ks</t>
  </si>
  <si>
    <t>WINGLINE L STŘEDOVÝ ZÁVĚS KLIPOVÝ SEŘIDITELNÝ SADA 2KS ANTRACIT</t>
  </si>
  <si>
    <t>Záves stredový nastavit.antr. = sada 2ks</t>
  </si>
  <si>
    <t>WINGLINE L STŘEDOVÝ ZÁVĚS KLIPOVÝ SEŘIDITELNÝ SADA 3KS ŠEDÝ</t>
  </si>
  <si>
    <t>Záves stredový nastavit.sivý = sada 3ks</t>
  </si>
  <si>
    <t>WINGLINE L STŘEDOVÝ ZÁVĚS KLIPOVÝ SEŘIDITELNÝ SADA 3KS BÍLÝ</t>
  </si>
  <si>
    <t>Záves stredový nastavit.biely = sada 3ks</t>
  </si>
  <si>
    <t>WINGLINE L STŘEDOVÝ ZÁVĚS KLIPOVÝ SEŘIDITELNÝ SADA 3KS ANTRACIT</t>
  </si>
  <si>
    <t>Záves stredový nastavit.antr. = sada 3ks</t>
  </si>
  <si>
    <t>WINGLINE L STŘEDOVÝ ZÁVĚS KLIPOVÝ STANDARDNÍ SADA 2KS ŠEDÝ</t>
  </si>
  <si>
    <t>Záves stredový klipový sivý = sada 2ks</t>
  </si>
  <si>
    <t>WINGLINE L STŘEDOVÝ ZÁVĚS KLIPOVÝ STANDARDNÍ SADA 2KS BÍLÝ</t>
  </si>
  <si>
    <t>Záves stredový klipový biely = sada 2ks</t>
  </si>
  <si>
    <t>WINGLINE L STŘEDOVÝ ZÁVĚS KLIPOVÝ STANDARDNÍ SADA 2KS ANTRACIT</t>
  </si>
  <si>
    <t>Záves stredový klipový antr. = sada 2ks</t>
  </si>
  <si>
    <t>WINGLINE L STŘEDOVÝ ZÁVĚS KLIPOVÝ STANDARDNÍ SADA 3KS ŠEDÝ</t>
  </si>
  <si>
    <t>Záves stredový klipový sivý = sada 3ks</t>
  </si>
  <si>
    <t>WINGLINE L STŘEDOVÝ ZÁVĚS KLIPOVÝ STANDARDNÍ SADA 3KS BÍLÝ</t>
  </si>
  <si>
    <t>Záves stredový klipový biely = sada 3ks</t>
  </si>
  <si>
    <t>WINGLINE L STŘEDOVÝ ZÁVĚS KLIPOVÝ STANDARDNÍ SADA 3KS ANTRACIT</t>
  </si>
  <si>
    <t>Záves stredový klipový antr. = sada 3ks</t>
  </si>
  <si>
    <t>WINGLINE L NEW PULL TO MOVE SILENT PRO TĚŽKÉ DVEŘE SADA ŠEDÁ</t>
  </si>
  <si>
    <t>WL L-Pull To Move SiSy /ťažké dv./sivá</t>
  </si>
  <si>
    <t>WINGLINE L NEW PULL TO MOVE SILENT PRO TĚŽKÉ DVEŘE SADA BÍLÁ</t>
  </si>
  <si>
    <t>WL L-Pull To Move SiSy /ťažké dv./biela</t>
  </si>
  <si>
    <t>WINGLINE L NEW PULL TO MOVE SILENT PRO TĚŽKÉ DVEŘE SADA ANTRACIT</t>
  </si>
  <si>
    <t>WL L-Pull To Move SiSy /ťažké dv./antr.</t>
  </si>
  <si>
    <t>WINGLINE L NEW PULL TO MOVE SILENT PRO LEHKÉ DVEŘE SADA ŠEDÁ</t>
  </si>
  <si>
    <t>WL L-Pull To Move SiSy /ľahké dv./sivá</t>
  </si>
  <si>
    <t>WINGLINE L NEW PULL TO MOVE SILENT PRO LEHKÉ DVEŘE SADA BÍLÁ</t>
  </si>
  <si>
    <t>WL L-Pull To Move SiSy /ľahké dv./biela</t>
  </si>
  <si>
    <t>WINGLINE L NEW PULL TO MOVE SILENT PRO LEHKÉ DVEŘE SADA ANTRACIT</t>
  </si>
  <si>
    <t>WL L-Pull To Move SiSy /ľahké dv./antr.</t>
  </si>
  <si>
    <t>WINGLINE L NEW PUSH / PULL TO MOVE PRO TĚŽKÉ DVEŘE SADA ŠEDÁ</t>
  </si>
  <si>
    <t>WL L-Push To Move /ťažké dv./sivá</t>
  </si>
  <si>
    <t>WINGLINE L NEW PUSH / PULL TO MOVE PRO TĚŽKÉ DVEŘE SADA BÍLÁ</t>
  </si>
  <si>
    <t>WL L-Push To Move /ťažké dv./biela</t>
  </si>
  <si>
    <t>WINGLINE L NEW PUSH / PULL TO MOVE PRO TĚŽKÉ DVEŘE SADA ANTRACIT</t>
  </si>
  <si>
    <t>WL L-Push To Move /ťažké dv./antr.</t>
  </si>
  <si>
    <t>WINGLINE L NEW PUSH / PULL TO MOVE PRO LEHKÉ DVEŘE SADA ŠEDÁ</t>
  </si>
  <si>
    <t>WL L-Push To Move /ľahké dv./sivá</t>
  </si>
  <si>
    <t>WINGLINE L NEW PUSH / PULL TO MOVE PRO LEHKÉ DVEŘE SADA BÍLÁ</t>
  </si>
  <si>
    <t>WL L-Push To Move /ľahké dv./biela</t>
  </si>
  <si>
    <t>WINGLINE L NEW PUSH / PULL TO MOVE PRO LEHKÉ DVEŘE SADA ANTRACIT</t>
  </si>
  <si>
    <t>WL L-Push To Move /ľahké dv./antr.</t>
  </si>
  <si>
    <t>WINGLINE L ARETACE PRO PUSH TO MOVE MECHANICKÁ ŠEDÁ</t>
  </si>
  <si>
    <t>WL L Push-mechanická aretácia; sivá (9264191)</t>
  </si>
  <si>
    <t>WINGLINE L ARETACE PRO PUSH TO MOVE MECHANICKÁ BÍLÁ</t>
  </si>
  <si>
    <t>WL L Push-mechanická aretácia; biela (9264170)</t>
  </si>
  <si>
    <t>WINGLINE L ARETACE PRO PUSH TO MOVE MECHANICKÁ ČERNÁ</t>
  </si>
  <si>
    <t>WL L Push-mechanická aretácia; čierna (9264192)</t>
  </si>
  <si>
    <t>WINGLINE L ARETACE PRO PUSH TO MOVE MAGNET. STANDARD ŠEDÁ</t>
  </si>
  <si>
    <t>WL L Push-magnet.aretácia Standard; sivá (9266220)</t>
  </si>
  <si>
    <t>WINGLINE L ARETACE PRO PUSH TO MOVE MAGNET. DESIGN BÍLÁ</t>
  </si>
  <si>
    <t>WL L Push-magnet.aretácia Design; biela (9266242)</t>
  </si>
  <si>
    <t>WINGLINE L ARETACE PRO PUSH TO MOVE MAGNET. DESIGN ČERNÁ</t>
  </si>
  <si>
    <t>WL L Push-magnet.aretácia Design; čierna (9266241)</t>
  </si>
  <si>
    <t>WINGLINE L ARETACE PRO PULL TO MOVE MAGNET. STANDARD ŠEDÁ</t>
  </si>
  <si>
    <t>WL L Pull-magnet.aretácia Standard; sivá</t>
  </si>
  <si>
    <t xml:space="preserve">WINGLINE L ARETACE PRO PULL TO MOVE MAGNET. DESIGN BÍLÁ </t>
  </si>
  <si>
    <t>WL L Pull-magnet.aretácia Design; biela</t>
  </si>
  <si>
    <t>WINGLINE L ARETACE PRO PULL TO MOVE MAGNET. DESIGN ČERNÁ</t>
  </si>
  <si>
    <t>WL L Pull-magnet.aretácia Design; čierna</t>
  </si>
  <si>
    <t xml:space="preserve">SENSYS 8645I 110° B12,5 TH52 </t>
  </si>
  <si>
    <t>SENSYS 8645i B12,5/TH52 (9071205)</t>
  </si>
  <si>
    <t xml:space="preserve">SENSYS 8645I 110° B3 TH52 </t>
  </si>
  <si>
    <t>SENSYS 8645i B3/TH52 (9071206)</t>
  </si>
  <si>
    <t>SENSYS 8675 110° B12,5 TH52 BEZ PRUŽINY PRO PUSH TO OPEN</t>
  </si>
  <si>
    <t>SENSYS 8675 B12,5/TH52 (pre P2O) (9071313)</t>
  </si>
  <si>
    <t>SENSYS 8675 110° B3 TH52 BEZ PRUŽINY PRO PUSH TO OPEN</t>
  </si>
  <si>
    <t>SENSYS 8675 B3/TH52 (pre P2O) (9071314)</t>
  </si>
  <si>
    <t>PODLOŽKA 8099 D1,5 EUROŠROUBY EXCENTR</t>
  </si>
  <si>
    <t>Podlož.SENSYS EURO/D=1,5 mm(exc.)/bok</t>
  </si>
  <si>
    <t/>
  </si>
  <si>
    <t>AvanY-bok pravý /v101/h550/ antracit</t>
  </si>
  <si>
    <t>AvanY-bok ľavý /v101/h600/ antracit</t>
  </si>
  <si>
    <t>AvanY-bok pravý /v101/h600/ antracit</t>
  </si>
  <si>
    <t>AvanY-bok ľavý /v101/h650/ antracit</t>
  </si>
  <si>
    <t>AvanY-bok pravý /v101/h650/ antracit</t>
  </si>
  <si>
    <t>AvanY-design profil na bok 270/ strieb.</t>
  </si>
  <si>
    <t>AvanY-design profil na bok 300/ strieb.</t>
  </si>
  <si>
    <t>AvanY-design profil na bok 350/ strieb.</t>
  </si>
  <si>
    <t>AvanY-design profil na bok 400/ strieb.</t>
  </si>
  <si>
    <t>AvanY-design profil na bok 450/ strieb.</t>
  </si>
  <si>
    <t>AvanY-design profil na bok 500/ strieb.</t>
  </si>
  <si>
    <t>AvanY-design profil na bok 550/ strieb.</t>
  </si>
  <si>
    <t>AvanY-design profil na bok 600/ strieb.</t>
  </si>
  <si>
    <t>AvanY-design profil na bok 650/ strieb.</t>
  </si>
  <si>
    <t>AvanY-design profil na bok 270/ biela</t>
  </si>
  <si>
    <t>AvanY-design profil na bok 300/ biela</t>
  </si>
  <si>
    <t>AvanY-design profil na bok 350/ biela</t>
  </si>
  <si>
    <t>AvanY-design profil na bok 400/ biela</t>
  </si>
  <si>
    <t>AvanY-design profil na bok 450/ biela</t>
  </si>
  <si>
    <t>AvanY-design profil na bok 500/ biela</t>
  </si>
  <si>
    <t>AvanY-design profil na bok 550/ biela</t>
  </si>
  <si>
    <t>AvanY-design profil na bok 600/ biela</t>
  </si>
  <si>
    <t>AvanY-design profil na bok 650/ biela</t>
  </si>
  <si>
    <t>AvanY-design profil na bok 270/ antracit</t>
  </si>
  <si>
    <t>AvanY-design profil na bok 300/ antracit</t>
  </si>
  <si>
    <t>AvanY-design profil na bok 350/ antracit</t>
  </si>
  <si>
    <t>AvanY-design profil na bok 400/ antracit</t>
  </si>
  <si>
    <t>AvanY-design profil na bok 450/ antracit</t>
  </si>
  <si>
    <t>AvanY-design profil na bok 500/ antracit</t>
  </si>
  <si>
    <t>AvanY-design profil na bok 550/ antracit</t>
  </si>
  <si>
    <t>AvanY-design profil na bok 600/ antracit</t>
  </si>
  <si>
    <t>AvanY-design profil na bok 650/ antracit</t>
  </si>
  <si>
    <t>AvanY-príchytka čela k naskrutk./ v101</t>
  </si>
  <si>
    <t>AvanY-príchytka čela s rozp.púzdrom/ v101</t>
  </si>
  <si>
    <t>AvanY-sólo oceľ.boky 139/300mm/strieb.</t>
  </si>
  <si>
    <t>AvanY-sólo oceľ.boky 139/350mm/strieb.</t>
  </si>
  <si>
    <t>AvanY-sólo oceľ.boky 139/400mm/strieb.</t>
  </si>
  <si>
    <t>AvanY-sólo oceľ.boky 139/450mm/strieb.</t>
  </si>
  <si>
    <t>AvanY-sólo oceľ.boky 139/500mm/strieb.</t>
  </si>
  <si>
    <t>AvanY-sólo oceľ.boky 139/550mm/strieb.</t>
  </si>
  <si>
    <t>AvanY-sólo oceľ.boky 139/600mm/strieb.</t>
  </si>
  <si>
    <t>AvanY-sólo oceľ.boky 139/300mm/biela</t>
  </si>
  <si>
    <t>AvanY-sólo oceľ.boky 139/350mm/biela</t>
  </si>
  <si>
    <t>AvanY-sólo oceľ.boky 139/400mm/biela</t>
  </si>
  <si>
    <t>AvanY-sólo oceľ.boky 139/450mm/biela</t>
  </si>
  <si>
    <t>AvanY-sólo oceľ.boky 139/500mm/biela</t>
  </si>
  <si>
    <t>AvanY-sólo oceľ.boky 139/550mm/biela</t>
  </si>
  <si>
    <t>AvanY-sólo oceľ.boky 139/600mm/biela</t>
  </si>
  <si>
    <t>AvanY-sólo oceľ.boky 139/300mm/antracit</t>
  </si>
  <si>
    <t>AvanY-sólo oceľ.boky 139/350mm/antracit</t>
  </si>
  <si>
    <t>AvanY-sólo oceľ.boky 139/400mm/antracit</t>
  </si>
  <si>
    <t>AvanY-sólo oceľ.boky 139/450mm/antracit</t>
  </si>
  <si>
    <t>AvanY-sólo oceľ.boky 139/500mm/antracit</t>
  </si>
  <si>
    <t>AvanY-sólo oceľ.boky 139/550mm/antracit</t>
  </si>
  <si>
    <t>AvanY-sólo oceľ.boky 139/600mm/antracit</t>
  </si>
  <si>
    <t>AvanY-bok ľavý /v139/h300/ strieborná</t>
  </si>
  <si>
    <t>AvanY-bok pravý /v139/h300/ strieborná</t>
  </si>
  <si>
    <t>AvanY-bok ľavý /v139/h350/ strieborná</t>
  </si>
  <si>
    <t>AvanY-bok pravý /v139/h350/ strieborná</t>
  </si>
  <si>
    <t>AvanY-bok ľavý /v139/h400/ strieborná</t>
  </si>
  <si>
    <t>AvanY-bok pravý /v139/h400/ strieborná</t>
  </si>
  <si>
    <t>AvanY-bok ľavý /v139/h450/ strieborná</t>
  </si>
  <si>
    <t>AvanY-bok pravý /v139/h450/ strieborná</t>
  </si>
  <si>
    <t>AvanY-bok ľavý /v139/h500/ strieborná</t>
  </si>
  <si>
    <t>AvanY-bok pravý /v139/h500/ strieborná</t>
  </si>
  <si>
    <t>AvanY-bok ľavý /v139/h550/ strieborná</t>
  </si>
  <si>
    <t>AvanY-bok pravý /v139/h550/ strieborná</t>
  </si>
  <si>
    <t>AvanY-bok ľavý /v139/h600/ strieborná</t>
  </si>
  <si>
    <t>AvanY-bok pravý /v139/h600/ strieborná</t>
  </si>
  <si>
    <t>AvanY-bok ľavý /v139/h300/ biela</t>
  </si>
  <si>
    <t>AvanY-bok pravý /v139/h300/ biela</t>
  </si>
  <si>
    <t>AvanY-bok ľavý /v139/h350/ biela</t>
  </si>
  <si>
    <t>AvanY-bok pravý /v139/h350/ biela</t>
  </si>
  <si>
    <t>AvanY-bok ľavý /v139/h400/ biela</t>
  </si>
  <si>
    <t>AvanY-bok pravý /v139/h400/ biela</t>
  </si>
  <si>
    <t>AvanY-bok ľavý /v139/h450/ biela</t>
  </si>
  <si>
    <t>AvanY-bok pravý /v139/h450/ biela</t>
  </si>
  <si>
    <t>AvanY-bok ľavý /v139/h500/ biela</t>
  </si>
  <si>
    <t>AvanY-bok pravý /v139/h500/ biela</t>
  </si>
  <si>
    <t>AvanY-bok ľavý /v139/h550/ biela</t>
  </si>
  <si>
    <t>AvanY-bok pravý /v139/h550/ biela</t>
  </si>
  <si>
    <t>AvanY-bok ľavý /v139/h600/ biela</t>
  </si>
  <si>
    <t>AvanY-bok pravý /v139/h600/ biela</t>
  </si>
  <si>
    <t>AvanY-bok ľavý /v139/h300/ antracit</t>
  </si>
  <si>
    <t>AvanY-bok pravý /v139/h300/ antracit</t>
  </si>
  <si>
    <t>AvanY-bok ľavý /v139/h350/ antracit</t>
  </si>
  <si>
    <t>AvanY-bok pravý /v139/h350/ antracit</t>
  </si>
  <si>
    <t>AvanY-bok ľavý /v139/h400/ antracit</t>
  </si>
  <si>
    <t>AvanY-bok pravý /v139/h400/ antracit</t>
  </si>
  <si>
    <t>AvanY-bok ľavý /v139/h450/ antracit</t>
  </si>
  <si>
    <t>AvanY-bok pravý /v139/h450/ antracit</t>
  </si>
  <si>
    <t>AvanY-bok ľavý /v139/h500/ antracit</t>
  </si>
  <si>
    <t>AvanY-bok pravý /v139/h500/ antracit</t>
  </si>
  <si>
    <t>AvanY-bok ľavý /v139/h550/ antracit</t>
  </si>
  <si>
    <t>AvanY-bok pravý /v139/h550/ antracit</t>
  </si>
  <si>
    <t>AvanY-bok ľavý /v139/h600/ antracit</t>
  </si>
  <si>
    <t>AvanY-bok pravý /v139/h600/ antracit</t>
  </si>
  <si>
    <t>AvanY-príchytka čela k naskrutk./ v139</t>
  </si>
  <si>
    <t>AvanY-príchytka čela s rozp.púzdrom/ v139</t>
  </si>
  <si>
    <t>AvanY-sólo oceľ.boky 187/270mm/strieb.</t>
  </si>
  <si>
    <t>AvanY-sólo oceľ.boky 187/300mm/strieb.</t>
  </si>
  <si>
    <t>AvanY-sólo oceľ.boky 187/350mm/strieb.</t>
  </si>
  <si>
    <t>AvanY-sólo oceľ.boky 187/400mm/strieb.</t>
  </si>
  <si>
    <t>AvanY-sólo oceľ.boky 187/450mm/strieb.</t>
  </si>
  <si>
    <t>AvanY-sólo oceľ.boky 187/500mm/strieb.</t>
  </si>
  <si>
    <t>AvanY-sólo oceľ.boky 187/550mm/strieb.</t>
  </si>
  <si>
    <t>AvanY-sólo oceľ.boky 187/600mm/strieb.</t>
  </si>
  <si>
    <t>AvanY-sólo oceľ.boky 187/650mm/strieb.</t>
  </si>
  <si>
    <t>AvanY-sólo oceľ.boky 187/270mm/biela</t>
  </si>
  <si>
    <t>AvanY-sólo oceľ.boky 187/300mm/biela</t>
  </si>
  <si>
    <t>AvanY-sólo oceľ.boky 187/350mm/biela</t>
  </si>
  <si>
    <t>AvanY-sólo oceľ.boky 187/400mm/biela</t>
  </si>
  <si>
    <t>AvanY-sólo oceľ.boky 187/450mm/biela</t>
  </si>
  <si>
    <t>AvanY-sólo oceľ.boky 187/500mm/biela</t>
  </si>
  <si>
    <t>AvanY-sólo oceľ.boky 187/550mm/biela</t>
  </si>
  <si>
    <t>AvanY-sólo oceľ.boky 187/600mm/biela</t>
  </si>
  <si>
    <t>AvanY-sólo oceľ.boky 187/650mm/biela</t>
  </si>
  <si>
    <t>AvanY-sólo oceľ.boky 187/270mm/antracit</t>
  </si>
  <si>
    <t>AvanY-sólo oceľ.boky 187/300mm/antracit</t>
  </si>
  <si>
    <t>AvanY-sólo oceľ.boky 187/350mm/antracit</t>
  </si>
  <si>
    <t>AvanY-sólo oceľ.boky 187/400mm/antracit</t>
  </si>
  <si>
    <t>AvanY-sólo oceľ.boky 187/450mm/antracit</t>
  </si>
  <si>
    <t>AvanY-sólo oceľ.boky 187/500mm/antracit</t>
  </si>
  <si>
    <t>AvanY-sólo oceľ.boky 187/550mm/antracit</t>
  </si>
  <si>
    <t>AvanY-sólo oceľ.boky 187/600mm/antracit</t>
  </si>
  <si>
    <t>AvanY-sólo oceľ.boky 187/650mm/antracit</t>
  </si>
  <si>
    <t>AvanY-bok ľavý /v187/h270/ strieborná</t>
  </si>
  <si>
    <t>AvanY-bok pravý /v187/h270/ strieborná</t>
  </si>
  <si>
    <t>AvanY-bok ľavý /v187/h300/ strieborná</t>
  </si>
  <si>
    <t>AvanY-bok pravý /v187/h300/ strieborná</t>
  </si>
  <si>
    <t>AvanY-bok ľavý /v187/h350/ strieborná</t>
  </si>
  <si>
    <t>AvanY-bok pravý /v187/h350/ strieborná</t>
  </si>
  <si>
    <t>AvanY-bok ľavý /v187/h400/ strieborná</t>
  </si>
  <si>
    <t>AvanY-bok pravý /v187/h400/ strieborná</t>
  </si>
  <si>
    <t>AvanY-bok ľavý /v187/h450/ strieborná</t>
  </si>
  <si>
    <t>AvanY-bok pravý /v187/h450/ strieborná</t>
  </si>
  <si>
    <t>AvanY-bok ľavý /v187/h500/ strieborná</t>
  </si>
  <si>
    <t>AvanY-bok pravý /v187/h500/ strieborná</t>
  </si>
  <si>
    <t>AvanY-bok ľavý /v187/h550/ strieborná</t>
  </si>
  <si>
    <t>AvanY-bok pravý /v187/h550/ strieborná</t>
  </si>
  <si>
    <t>AvanY-bok ľavý /v187/h600/ strieborná</t>
  </si>
  <si>
    <t>AvanY-bok pravý /v187/h600/ strieborná</t>
  </si>
  <si>
    <t>AvanY-bok ľavý /v187/h650/ strieborná</t>
  </si>
  <si>
    <t>AvanY-bok pravý /v187/h650/ strieborná</t>
  </si>
  <si>
    <t>AvanY-bok ľavý /v187/h270/ biela</t>
  </si>
  <si>
    <t>AvanY-bok pravý /v187/h270/ biela</t>
  </si>
  <si>
    <t>AvanY-bok ľavý /v187/h300/ biela</t>
  </si>
  <si>
    <t>AvanY-bok pravý /v187/h300/ biela</t>
  </si>
  <si>
    <t>AvanY-bok ľavý /v187/h350/ biela</t>
  </si>
  <si>
    <t>AvanY-bok pravý /v187/h350/ biela</t>
  </si>
  <si>
    <t>AvanY-bok ľavý /v187/h400/ biela</t>
  </si>
  <si>
    <t>AvanY-bok pravý /v187/h400/ biela</t>
  </si>
  <si>
    <t>AvanY-bok ľavý /v187/h450/ biela</t>
  </si>
  <si>
    <t>AvanY-bok pravý /v187/h450/ biela</t>
  </si>
  <si>
    <t>AvanY-bok ľavý /v187/h500/ biela</t>
  </si>
  <si>
    <t>AvanY-bok pravý /v187/h500/ biela</t>
  </si>
  <si>
    <t>AvanY-bok ľavý /v187/h550/ biela</t>
  </si>
  <si>
    <t>AvanY-bok pravý /v187/h550/ biela</t>
  </si>
  <si>
    <t>AvanY-bok ľavý /v187/h600/ biela</t>
  </si>
  <si>
    <t>AvanY-bok pravý /v187/h600/ biela</t>
  </si>
  <si>
    <t>AvanY-bok ľavý /v187/h650/ biela</t>
  </si>
  <si>
    <t>AvanY-bok pravý /v187/h650/ biela</t>
  </si>
  <si>
    <t>AvanY-bok ľavý /v187/h270/ antracit</t>
  </si>
  <si>
    <t>AvanY-bok pravý /v187/h270/ antracit</t>
  </si>
  <si>
    <t>AvanY-bok ľavý /v187/h300/ antracit</t>
  </si>
  <si>
    <t>AvanY-bok pravý /v187/h300/ antracit</t>
  </si>
  <si>
    <t>AvanY-bok ľavý /v187/h350/ antracit</t>
  </si>
  <si>
    <t>AvanY-bok pravý /v187/h350/ antracit</t>
  </si>
  <si>
    <t>AvanY-bok ľavý /v187/h400/ antracit</t>
  </si>
  <si>
    <t>AvanY-bok pravý /v187/h400/ antracit</t>
  </si>
  <si>
    <t>AvanY-bok ľavý /v187/h450/ antracit</t>
  </si>
  <si>
    <t>AvanY-bok pravý /v187/h450/ antracit</t>
  </si>
  <si>
    <t>AvanY-bok ľavý /v187/h500/ antracit</t>
  </si>
  <si>
    <t>AvanY-bok pravý /v187/h500/ antracit</t>
  </si>
  <si>
    <t>AvanY-bok ľavý /v187/h550/ antracit</t>
  </si>
  <si>
    <t>AvanY-bok pravý /v187/h550/ antracit</t>
  </si>
  <si>
    <t>AvanY-bok ľavý /v187/h600/ antracit</t>
  </si>
  <si>
    <t>AvanY-bok pravý /v187/h600/ antracit</t>
  </si>
  <si>
    <t>AvanY-bok ľavý /v187/h650/ antracit</t>
  </si>
  <si>
    <t>AvanY-bok pravý /v187/h650/ antracit</t>
  </si>
  <si>
    <t>AvanY-prích.čela k naskrutk./ v187-251</t>
  </si>
  <si>
    <t>AvanY-prích.čela s rozp.púzdrom/ v187-251</t>
  </si>
  <si>
    <t>AvanY-sólo oceľ.boky 251/350mm/strieb.</t>
  </si>
  <si>
    <t>AvanY-sólo oceľ.boky 251/400mm/strieb.</t>
  </si>
  <si>
    <t>AvanY-sólo oceľ.boky 251/450mm/strieb.</t>
  </si>
  <si>
    <t>AvanY-sólo oceľ.boky 251/500mm/strieb.</t>
  </si>
  <si>
    <t>AvanY-sólo oceľ.boky 251/550mm/strieb.</t>
  </si>
  <si>
    <t>AvanY-sólo oceľ.boky 251/600mm/strieb.</t>
  </si>
  <si>
    <t>AvanY-sólo oceľ.boky 251/650mm/strieb.</t>
  </si>
  <si>
    <t>AvanY-sólo oceľ.boky 251/350mm/biela.</t>
  </si>
  <si>
    <t>AvanY-sólo oceľ.boky 251/400mm/biela.</t>
  </si>
  <si>
    <t>AvanY-sólo oceľ.boky 251/450mm/biela.</t>
  </si>
  <si>
    <t>AvanY-sólo oceľ.boky 251/500mm/biela.</t>
  </si>
  <si>
    <t>AvanY-sólo oceľ.boky 251/550mm/biela.</t>
  </si>
  <si>
    <t>AvanY-sólo oceľ.boky 251/600mm/biela.</t>
  </si>
  <si>
    <t>AvanY-sólo oceľ.boky 251/650mm/biela.</t>
  </si>
  <si>
    <t>AvanY-sólo oceľ.boky 251/350mm/antracit.</t>
  </si>
  <si>
    <t>AvanY-sólo oceľ.boky 251/400mm/antracit.</t>
  </si>
  <si>
    <t>AvanY-sólo oceľ.boky 251/450mm/antracit.</t>
  </si>
  <si>
    <t>AvanY-sólo oceľ.boky 251/500mm/antracit.</t>
  </si>
  <si>
    <t>AvanY-sólo oceľ.boky 251/550mm/antracit.</t>
  </si>
  <si>
    <t>AvanY-sólo oceľ.boky 251/600mm/antracit.</t>
  </si>
  <si>
    <t>AvanY-sólo oceľ.boky 251/650mm/antracit.</t>
  </si>
  <si>
    <t>AvanY-bok ľavý /v251/h350/ strieborná</t>
  </si>
  <si>
    <t>AvanY-bok pravý /v251/h350/ strieborná</t>
  </si>
  <si>
    <t>AvanY-bok ľavý /v251/h400/ strieborná</t>
  </si>
  <si>
    <t>AvanY-bok pravý /v251/h400/ strieborná</t>
  </si>
  <si>
    <t>AvanY-bok ľavý /v251/h450/ strieborná</t>
  </si>
  <si>
    <t>AvanY-bok pravý /v251/h450/ strieborná</t>
  </si>
  <si>
    <t>AvanY-bok ľavý /v251/h500/ strieborná</t>
  </si>
  <si>
    <t>AvanY-bok pravý /v251/h500/ strieborná</t>
  </si>
  <si>
    <t>AvanY-bok ľavý /v251/h550/ strieborná</t>
  </si>
  <si>
    <t>AvanY-bok pravý /v251/h550/ strieborná</t>
  </si>
  <si>
    <t>AvanY-bok ľavý /v251/h600/ strieborná</t>
  </si>
  <si>
    <t>AvanY-bok pravý /v251/h600/ strieborná</t>
  </si>
  <si>
    <t>AvanY-bok ľavý /v251/h650/ strieborná</t>
  </si>
  <si>
    <t>AvanY-bok pravý /v251/h650/ strieborná</t>
  </si>
  <si>
    <t>AvanY-bok ľavý /v251/h350/ biela</t>
  </si>
  <si>
    <t>AvanY-bok pravý /v251/h350/ biela</t>
  </si>
  <si>
    <t>AvanY-bok ľavý /v251/h400/ biela</t>
  </si>
  <si>
    <t>AvanY-bok pravý /v251/h400/ biela</t>
  </si>
  <si>
    <t>AvanY-bok ľavý /v251/h450/ biela</t>
  </si>
  <si>
    <t>AvanY-bok pravý /v251/h450/ biela</t>
  </si>
  <si>
    <t>AvanY-bok ľavý /v251/h500/ biela</t>
  </si>
  <si>
    <t>AvanY-bok pravý /v251/h500/ biela</t>
  </si>
  <si>
    <t>AvanY-bok ľavý /v251/h550/ biela</t>
  </si>
  <si>
    <t>AvanY-bok pravý /v251/h550/ biela</t>
  </si>
  <si>
    <t>AvanY-bok ľavý /v251/h600/ biela</t>
  </si>
  <si>
    <t>AvanY-bok pravý /v251/h600/ biela</t>
  </si>
  <si>
    <t>AvanY-bok ľavý /v251/h650/ biela</t>
  </si>
  <si>
    <t>AvanY-bok pravý /v251/h650/ biela</t>
  </si>
  <si>
    <t>AvanY-bok ľavý /v251/h350/ antracit</t>
  </si>
  <si>
    <t>AvanY-bok pravý /v251/h350/ antracit</t>
  </si>
  <si>
    <t>AvanY-bok ľavý /v251/h400/ antracit</t>
  </si>
  <si>
    <t>AvanY-bok pravý /v251/h400/ antracit</t>
  </si>
  <si>
    <t>AvanY-bok ľavý /v251/h450/ antracit</t>
  </si>
  <si>
    <t>AvanY-bok pravý /v251/h450/ antracit</t>
  </si>
  <si>
    <t>AvanY-bok ľavý /v251/h500/ antracit</t>
  </si>
  <si>
    <t>AvanY-bok pravý /v251/h500/ antracit</t>
  </si>
  <si>
    <t>AvanY-bok ľavý /v251/h550/ antracit</t>
  </si>
  <si>
    <t>AvanY-bok pravý /v251/h550/ antracit</t>
  </si>
  <si>
    <t>AvanY-bok ľavý /v251/h600/ antracit</t>
  </si>
  <si>
    <t>AvanY-bok pravý /v251/h600/ antracit</t>
  </si>
  <si>
    <t>AvanY-bok ľavý /v251/h650/ antracit</t>
  </si>
  <si>
    <t>AvanY-bok pravý /v251/h650/ antracit</t>
  </si>
  <si>
    <t>AvanY-stabiliz.čela k naskrutk./ v251</t>
  </si>
  <si>
    <t>AvanY-stabiliz.čela s rozp.púzdrom/ v251</t>
  </si>
  <si>
    <t>AvanY-sólo boky Inlay 187/350mm/strieb.</t>
  </si>
  <si>
    <t>AvanY-sólo boky Inlay 187/400mm/strieb.</t>
  </si>
  <si>
    <t>AvanY-sólo boky Inlay 187/450mm/strieb.</t>
  </si>
  <si>
    <t>AvanY-sólo boky Inlay 187/500mm/strieb.</t>
  </si>
  <si>
    <t>AvanY-sólo boky Inlay 187/550mm/strieb.</t>
  </si>
  <si>
    <t>AvanY-sólo boky Inlay 187/600mm/strieb.</t>
  </si>
  <si>
    <t>AvanY-sólo boky Inlay 187/650mm/strieb.</t>
  </si>
  <si>
    <t>AvanY-sólo boky Inlay 187/350mm/biela</t>
  </si>
  <si>
    <t>AvanY-sólo boky Inlay 187/400mm/biela</t>
  </si>
  <si>
    <t>AvanY-sólo boky Inlay 187/450mm/biela</t>
  </si>
  <si>
    <t>AvanY-sólo boky Inlay 187/500mm/biela</t>
  </si>
  <si>
    <t>AvanY-sólo boky Inlay 187/550mm/biela</t>
  </si>
  <si>
    <t>AvanY-sólo boky Inlay 187/600mm/biela</t>
  </si>
  <si>
    <t>AvanY-sólo boky Inlay 187/650mm/biela</t>
  </si>
  <si>
    <t>AvanY-sólo boky Inlay 187/350mm/antracit</t>
  </si>
  <si>
    <t>AvanY-sólo boky Inlay 187/400mm/antracit</t>
  </si>
  <si>
    <t>AvanY-sólo boky Inlay 187/450mm/antracit</t>
  </si>
  <si>
    <t>AvanY-sólo boky Inlay 187/500mm/antracit</t>
  </si>
  <si>
    <t>AvanY-sólo boky Inlay 187/550mm/antracit</t>
  </si>
  <si>
    <t>AvanY-sólo boky Inlay 187/600mm/antracit</t>
  </si>
  <si>
    <t>AvanY-sólo boky Inlay 187/650mm/antracit</t>
  </si>
  <si>
    <t>AvanY-bok Inlay ľavý /v187/h350/ strieb.</t>
  </si>
  <si>
    <t>AvanY-bok Inlay pravý /v187/h350/ strieb.</t>
  </si>
  <si>
    <t>AvanY-bok Inlay ľavý /v187/h400/ strieb.</t>
  </si>
  <si>
    <t>AvanY-bok Inlay pravý /v187/h400/ strieb.</t>
  </si>
  <si>
    <t>AvanY-bok Inlay ľavý /v187/h450/ strieb.</t>
  </si>
  <si>
    <t>AvanY-bok Inlay pravý /v187/h450/ strieb.</t>
  </si>
  <si>
    <t>AvanY-bok Inlay ľavý /v187/h500/ strieb.</t>
  </si>
  <si>
    <t>AvanY-bok Inlay pravý /v187/h500/ strieb.</t>
  </si>
  <si>
    <t>AvanY-bok Inlay ľavý /v187/h550/ strieb.</t>
  </si>
  <si>
    <t>AvanY-bok Inlay pravý /v187/h550/ strieb.</t>
  </si>
  <si>
    <t>AvanY-bok Inlay ľavý /v187/h600/ strieb.</t>
  </si>
  <si>
    <t>AvanY-bok Inlay pravý /v187/h600/ strieb.</t>
  </si>
  <si>
    <t>AvanY-bok Inlay ľavý /v187/h650/ strieb.</t>
  </si>
  <si>
    <t>AvanY-bok Inlay pravý /v187/h650/ strieb.</t>
  </si>
  <si>
    <t>AvanY-bok Inlay ľavý /v187/h350/ biela</t>
  </si>
  <si>
    <t>AvanY-bok Inlay pravý /v187/h350/ biela</t>
  </si>
  <si>
    <t>AvanY-bok Inlay ľavý /v187/h400/ biela</t>
  </si>
  <si>
    <t>AvanY-bok Inlay pravý /v187/h400/ biela</t>
  </si>
  <si>
    <t>AvanY-bok Inlay ľavý /v187/h450/ biela</t>
  </si>
  <si>
    <t>AvanY-bok Inlay pravý /v187/h450/ biela</t>
  </si>
  <si>
    <t>AvanY-bok Inlay ľavý /v187/h500/ biela</t>
  </si>
  <si>
    <t>AvanY-bok Inlay pravý /v187/h500/ biela</t>
  </si>
  <si>
    <t>AvanY-bok Inlay ľavý /v187/h550/ biela</t>
  </si>
  <si>
    <t>AvanY-bok Inlay pravý /v187/h550/ biela</t>
  </si>
  <si>
    <t>AvanY-bok Inlay ľavý /v187/h600/ biela</t>
  </si>
  <si>
    <t>AvanY-bok Inlay pravý /v187/h600/ biela</t>
  </si>
  <si>
    <t>AvanY-bok Inlay ľavý /v187/h650/ biela</t>
  </si>
  <si>
    <t>AvanY-bok Inlay pravý /v187/h650/ biela</t>
  </si>
  <si>
    <t>AvanY-bok Inlay ľavý /v187/h350/ antr.</t>
  </si>
  <si>
    <t>AvanY-bok Inlay pravý /v187/h350/ antr.</t>
  </si>
  <si>
    <t>AvanY-bok Inlay ľavý /v187/h400/ antr.</t>
  </si>
  <si>
    <t>AvanY-bok Inlay pravý /v187/h400/ antr.</t>
  </si>
  <si>
    <t>AvanY-bok Inlay ľavý /v187/h450/ antr.</t>
  </si>
  <si>
    <t>AvanY-bok Inlay pravý /v187/h450/ antr.</t>
  </si>
  <si>
    <t>AvanY-bok Inlay ľavý /v187/h500/ antr.</t>
  </si>
  <si>
    <t>AvanY-bok Inlay pravý /v187/h500/ antr.</t>
  </si>
  <si>
    <t>AvanY-bok Inlay ľavý /v187/h550/ antr.</t>
  </si>
  <si>
    <t>AvanY-bok Inlay pravý /v187/h550/ antr.</t>
  </si>
  <si>
    <t>AvanY-bok Inlay ľavý /v187/h600/ antr.</t>
  </si>
  <si>
    <t>AvanY-bok Inlay pravý /v187/h600/ antr.</t>
  </si>
  <si>
    <t>AvanY-bok Inlay ľavý /v187/h650/ antr.</t>
  </si>
  <si>
    <t>AvanY-bok Inlay pravý /v187/h650/ antr.</t>
  </si>
  <si>
    <t>AvanY-prích.čela Inlay k naskrutk./ v187</t>
  </si>
  <si>
    <t>AvanY-prích.čela Inlay s rozp.púzdrom/ v187</t>
  </si>
  <si>
    <t>AvanY-adaptér pre bok Inlay /pre 8mm hr.</t>
  </si>
  <si>
    <t>AvanY-čelo vnút.zásuvky /v101/d2000/strieb.</t>
  </si>
  <si>
    <t>AvanY-čelo vnút.zásuvky /v139/d2000/strieb.</t>
  </si>
  <si>
    <t>AvanY-čelo vnút.zásuvky /v187/d2000/strieb.</t>
  </si>
  <si>
    <t>AvanY-čelo vnút.zásuvky /v101/d2000/biela</t>
  </si>
  <si>
    <t>AvanY-čelo vnút.zásuvky /v139/d2000/biela</t>
  </si>
  <si>
    <t>AvanY-čelo vnút.zásuvky /v187/d2000/biela</t>
  </si>
  <si>
    <t>AvanY-čelo vnút.zásuvky /v101/d2000/antr.</t>
  </si>
  <si>
    <t>AvanY-čelo vnút.zásuvky /v139/d2000/antr.</t>
  </si>
  <si>
    <t>AvanY-čelo vnút.zásuvky /v187/d2000/antr.</t>
  </si>
  <si>
    <t>AvanY-spojky čela vnút.zás./v101/strieb.</t>
  </si>
  <si>
    <t>AvanY-spojky čela vnút.zás./v139/strieb.</t>
  </si>
  <si>
    <t>AvanY-spojky čela vnút.zás./v187/strieb.</t>
  </si>
  <si>
    <t>AvanY-spojky čela vnút.zás./v101/biela</t>
  </si>
  <si>
    <t>AvanY-spojky čela vnút.zás./v139/biela</t>
  </si>
  <si>
    <t>AvanY-spojky čela vnút.zás./v187/biela</t>
  </si>
  <si>
    <t>AvanY-spojky čela vnút.zás./v101/antr.</t>
  </si>
  <si>
    <t>AvanY-spojky čela vnút.zás./v139/antr.</t>
  </si>
  <si>
    <t>AvanY-spojky čela vnút.zás./v187/antr.</t>
  </si>
  <si>
    <t>AvanY-spojky čela vnút.Inlay/v187/strieb.</t>
  </si>
  <si>
    <t>AvanY-spojky čela vnút.Inlay/v187/biela</t>
  </si>
  <si>
    <t>AvanY-spojky čela vnút.Inlay/v187/antr.</t>
  </si>
  <si>
    <t>AvanY-stabilizátor čela vnút.zásuvky</t>
  </si>
  <si>
    <t>AvanY-unášač vnútornej zásuvky ; sivá</t>
  </si>
  <si>
    <t>AvanY-unášač vnútornej zásuvky ; biela</t>
  </si>
  <si>
    <t>AvanY-unášač vnútornej zásuvky ; antracit</t>
  </si>
  <si>
    <t>AvanY-krytka čela vnút.zás./v101/strieb.</t>
  </si>
  <si>
    <t>AvanY-krytka čela vnút.zás./v139/strieb.</t>
  </si>
  <si>
    <t>AvanY-krytka čela vnút.zás./v187/strieb.</t>
  </si>
  <si>
    <t>AvanY-krytka čela vnút.zás./v101/biela</t>
  </si>
  <si>
    <t>AvanY-krytka čela vnút.zás./v139/biela</t>
  </si>
  <si>
    <t>AvanY-krytka čela vnút.zás./v187/biela</t>
  </si>
  <si>
    <t>AvanY-krytka čela vnút.zás./v101/antr.</t>
  </si>
  <si>
    <t>AvanY-krytka čela vnút.zás./v139/antr.</t>
  </si>
  <si>
    <t>AvanY-krytka čela vnút.zás./v187/ant.</t>
  </si>
  <si>
    <t>AvanY-indiv.čelo vnút.zásuv./d2000/strieb.</t>
  </si>
  <si>
    <t>AvanY-indiv.čelo vnút.zásuv./d2000/biela</t>
  </si>
  <si>
    <t>AvanY-indiv.čelo vnút.zásuv./d2000/antr.</t>
  </si>
  <si>
    <t>AvanY-spojky indiv.čela vnút./v187/strieb.</t>
  </si>
  <si>
    <t>AvanY-spojky indiv.čela vnút./v187/biela</t>
  </si>
  <si>
    <t>AvanY-spojky indiv.čela vnút./v187/antr.</t>
  </si>
  <si>
    <t>AvanY-spojky indiv.čela vn.Inlay/v187/strieb.</t>
  </si>
  <si>
    <t>AvanY-spojky indiv.čela vn.Inlay/v187/biela</t>
  </si>
  <si>
    <t>AvanY-spojky indiv.čela vn.Inlay/v187/antr.</t>
  </si>
  <si>
    <t>AvanY-design profil na bok 270/ hliník</t>
  </si>
  <si>
    <t>AvanY-design profil na bok 300/ hliník</t>
  </si>
  <si>
    <t>AvanY-design profil na bok 350/ hliník</t>
  </si>
  <si>
    <t>AvanY-design profil na bok 400/ hliník</t>
  </si>
  <si>
    <t>AvanY-design profil na bok 450/ hliník</t>
  </si>
  <si>
    <t>AvanY-design profil na bok 500/ hliník</t>
  </si>
  <si>
    <t>AvanY-design profil na bok 550/ hliník</t>
  </si>
  <si>
    <t>AvanY-design profil na bok 600/ hliník</t>
  </si>
  <si>
    <t>AvanY-design profil na bok 650/ hliník</t>
  </si>
  <si>
    <t>AvanY-design profil na bok 270/ nerez</t>
  </si>
  <si>
    <t>AvanY-design profil na bok 300/ nerez</t>
  </si>
  <si>
    <t>AvanY-design profil na bok 350/ nerez</t>
  </si>
  <si>
    <t>AvanY-design profil na bok 400/ nerez</t>
  </si>
  <si>
    <t>AvanY-design profil na bok 450/ nerez</t>
  </si>
  <si>
    <t>AvanY-design profil na bok 500/ nerez</t>
  </si>
  <si>
    <t>AvanY-design profil na bok 550/ nerez</t>
  </si>
  <si>
    <t>AvanY-design profil na bok 600/ nerez</t>
  </si>
  <si>
    <t>AvanY-design profil na bok 650/ nerez</t>
  </si>
  <si>
    <t>AvanY-design profil na bok 270/ chróm</t>
  </si>
  <si>
    <t>AvanY-design profil na bok 300/ chróm</t>
  </si>
  <si>
    <t>AvanY-design profil na bok 350/ chróm</t>
  </si>
  <si>
    <t>AvanY-design profil na bok 400/ chróm</t>
  </si>
  <si>
    <t>AvanY-design profil na bok 450/ chróm</t>
  </si>
  <si>
    <t>AvanY-design profil na bok 500/ chróm</t>
  </si>
  <si>
    <t>AvanY-design profil na bok 550/ chróm</t>
  </si>
  <si>
    <t>AvanY-design profil na bok 600/ chróm</t>
  </si>
  <si>
    <t>AvanY-design profil na bok 650/ chróm</t>
  </si>
  <si>
    <t>AvanY-design profil na bok 270/ dub</t>
  </si>
  <si>
    <t>AvanY-design profil na bok 300/ dub</t>
  </si>
  <si>
    <t>AvanY-design profil na bok 350/ dub</t>
  </si>
  <si>
    <t>AvanY-design profil na bok 400/ dub</t>
  </si>
  <si>
    <t>AvanY-design profil na bok 450/ dub</t>
  </si>
  <si>
    <t>AvanY-design profil na bok 500/ dub</t>
  </si>
  <si>
    <t>AvanY-design profil na bok 550/ dub</t>
  </si>
  <si>
    <t>AvanY-design profil na bok 600/ dub</t>
  </si>
  <si>
    <t>AvanY-design profil na bok 650/ dub</t>
  </si>
  <si>
    <t>AvanY-design profil na bok 270/ orech</t>
  </si>
  <si>
    <t>AvanY-design profil na bok 300/ orech</t>
  </si>
  <si>
    <t>AvanY-design profil na bok 350/ orech</t>
  </si>
  <si>
    <t>AvanY-design profil na bok 400/ orech</t>
  </si>
  <si>
    <t>AvanY-design profil na bok 450/ orech</t>
  </si>
  <si>
    <t>AvanY-design profil na bok 500/ orech</t>
  </si>
  <si>
    <t>AvanY-design profil na bok 550/ orech</t>
  </si>
  <si>
    <t>AvanY-design profil na bok 600/ orech</t>
  </si>
  <si>
    <t>AvanY-design profil na bok 650/ orech</t>
  </si>
  <si>
    <t>AvanY-design profil na bok /2000mm/sivá</t>
  </si>
  <si>
    <t>AvanY-DesignCape /v101/dĺ-2000mm/ALU</t>
  </si>
  <si>
    <t>AvanY-DesignCape /v187/dĺ-2000mm/ALU</t>
  </si>
  <si>
    <t>AvanY-DesignCape /v101/dĺ-2000mm/nerez</t>
  </si>
  <si>
    <t>AvanY-DesignCape /v187/dĺ-2000mm/nerez</t>
  </si>
  <si>
    <t>AvanY-krytka s logom Hettich/strieb.</t>
  </si>
  <si>
    <t>AvanY-krytka s logom Hettich/biela</t>
  </si>
  <si>
    <t>AvanY-krytka s logom Hettich/antr.</t>
  </si>
  <si>
    <t>AvanY-krytka bez loga Hettich/strieb.</t>
  </si>
  <si>
    <t>AvanY-krytka bez loga Hettich/biela</t>
  </si>
  <si>
    <t>AvanY-krytka bez loga Hettich/antr.</t>
  </si>
  <si>
    <t>AT/AVAN-stabilizátor čela / pre š&gt;600mm</t>
  </si>
  <si>
    <t>AvanY-Inlay sklenené boky 350mm; 2 x sklo</t>
  </si>
  <si>
    <t>AvanY-Inlay sklenené boky 400mm; 2 x sklo</t>
  </si>
  <si>
    <t>AvanY-Inlay sklenené boky 450mm; 2 x sklo</t>
  </si>
  <si>
    <t>AvanY-Inlay sklenené boky 500mm; 2 x sklo</t>
  </si>
  <si>
    <t>AvanY-Inlay sklenené boky 550mm; 2 x sklo</t>
  </si>
  <si>
    <t>AvanY-Inlay sklenené boky 600mm; 2 x sklo</t>
  </si>
  <si>
    <t>AvanY-Inlay sklenené boky 650mm; 2 x sklo</t>
  </si>
  <si>
    <t>AvanY-sklo pre vnút.čelo /v66/s450/hr16</t>
  </si>
  <si>
    <t>AvanY-sklo pre vnút.čelo /v66/s600/hr16</t>
  </si>
  <si>
    <t>AvanY-sklo pre vnút.čelo /v66/s900/hr16</t>
  </si>
  <si>
    <t>AvanY-sklo pre vnút.čelo /v66/s1200/hr16</t>
  </si>
  <si>
    <t>AvanY-sklo pre vnút.čelo /v66/s450/hr18</t>
  </si>
  <si>
    <t>AvanY-sklo pre vnút.čelo /v66/s600/hr18</t>
  </si>
  <si>
    <t>AvanY-sklo pre vnút.čelo /v66/s900/hr18</t>
  </si>
  <si>
    <t>AvanY-sklo pre vnút.čelo /v66/s1200/hr18</t>
  </si>
  <si>
    <t>AvanY-sklo pre vnút.čelo /v66/s450/hr19</t>
  </si>
  <si>
    <t>AvanY-sklo pre vnút.čelo /v66/s600/hr19</t>
  </si>
  <si>
    <t>AvanY-sklo pre vnút.čelo /v66/s900/hr19</t>
  </si>
  <si>
    <t>AvanY-sklo pre vnút.čelo /v66/s1200/hr19</t>
  </si>
  <si>
    <t>AvanY-sklo pre vnút.čelo /v130/s450/hr16</t>
  </si>
  <si>
    <t>AvanY-sklo pre vnút.čelo /v130/s600/hr16</t>
  </si>
  <si>
    <t>AvanY-sklo pre vnút.čelo /v130/s900/hr16</t>
  </si>
  <si>
    <t>AvanY-sklo pre vnút.čelo /v130/s1200/hr16</t>
  </si>
  <si>
    <t>AvanY-sklo pre vnút.čelo /v130/s450/hr18</t>
  </si>
  <si>
    <t>AvanY-sklo pre vnút.čelo /v130/s600/hr18</t>
  </si>
  <si>
    <t>AvanY-sklo pre vnút.čelo /v130/s900/hr18</t>
  </si>
  <si>
    <t>AvanY-sklo pre vnút.čelo /v130/s1200/hr18</t>
  </si>
  <si>
    <t>AvanY-sklo pre vnút.čelo /v130/s450/hr19</t>
  </si>
  <si>
    <t>AvanY-sklo pre vnút.čelo /v130/s600/hr19</t>
  </si>
  <si>
    <t>AvanY-sklo pre vnút.čelo /v130/s900/hr19</t>
  </si>
  <si>
    <t>AvanY-sklo pre vnút.čelo /v130/s1200/hr19</t>
  </si>
  <si>
    <t>Skrutka s polgul.hlavou 3,5x6,5mm</t>
  </si>
  <si>
    <t>Skrutka s polgul.hlavou 3,5x12mm</t>
  </si>
  <si>
    <t>Skrutka s polgul.hlavou 3,5x20mm</t>
  </si>
  <si>
    <t>Skrutka s polgul.hlavou 3,5x30mm</t>
  </si>
  <si>
    <t>Skrutka s polgul.hlavou M3,5x12mm</t>
  </si>
  <si>
    <t>EURO-skrutka  6,0x14mm / niklovaná</t>
  </si>
  <si>
    <t>Actro You(S) 270/SiSy 10kg; EB21</t>
  </si>
  <si>
    <t>Actro You(S) 300/SiSy 10kg; EB21</t>
  </si>
  <si>
    <t>Actro You(S) 350/SiSy 10kg; EB21</t>
  </si>
  <si>
    <t>Actro You(S) 270/SiSy 10kg; EB21; ľavý</t>
  </si>
  <si>
    <t>Actro You(S) 270/SiSy 10kg; EB21; pravý</t>
  </si>
  <si>
    <t>Actro You(S) 300/SiSy 10kg; EB21; ľavý</t>
  </si>
  <si>
    <t>Actro You(S) 300/SiSy 10kg; EB21; pravý</t>
  </si>
  <si>
    <t>Actro You(S) 350/SiSy 10kg; EB21; ľavý</t>
  </si>
  <si>
    <t>Actro You(S) 350/SiSy 10kg; EB21; pravý</t>
  </si>
  <si>
    <t>Actro You(L) 270/SiSy 40kg; EB21</t>
  </si>
  <si>
    <t>Actro You(L) 300/SiSy 40kg; EB21</t>
  </si>
  <si>
    <t>Actro You(L) 350/SiSy 40kg; EB21</t>
  </si>
  <si>
    <t>Actro You(L) 400/SiSy 40kg; EB21</t>
  </si>
  <si>
    <t>Actro You(L) 450/SiSy 40kg; EB21</t>
  </si>
  <si>
    <t>Actro You(L) 500/SiSy 40kg; EB21</t>
  </si>
  <si>
    <t>Actro You(L) 550/SiSy 40kg; EB21</t>
  </si>
  <si>
    <t>Actro You(L) 600/SiSy 40kg; EB21</t>
  </si>
  <si>
    <t>Actro You(L) 270/SiSy 40kg; EB21; ľavý</t>
  </si>
  <si>
    <t>Actro You(L) 270/SiSy 40kg; EB21; pravý</t>
  </si>
  <si>
    <t>Actro You(L) 300/SiSy 40kg; EB21; ľavý</t>
  </si>
  <si>
    <t>Actro You(L) 300/SiSy 40kg; EB21; pravý</t>
  </si>
  <si>
    <t>Actro You(L) 350/SiSy 40kg; EB21; ľavý</t>
  </si>
  <si>
    <t>Actro You(L) 350/SiSy 40kg; EB21; pravý</t>
  </si>
  <si>
    <t>Actro You(L) 400/SiSy 40kg; EB21; ľavý</t>
  </si>
  <si>
    <t>Actro You(L) 400/SiSy 40kg; EB21; pravý</t>
  </si>
  <si>
    <t>Actro You(L) 450/SiSy 40kg; EB21; ľavý</t>
  </si>
  <si>
    <t>Actro You(L) 450/SiSy 40kg; EB21; pravý</t>
  </si>
  <si>
    <t>Actro You(L) 500/SiSy 40kg; EB21; ľavý</t>
  </si>
  <si>
    <t>Actro You(L) 500/SiSy 40kg; EB21; pravý</t>
  </si>
  <si>
    <t>Actro You(L) 550/SiSy 40kg; EB21; ľavý</t>
  </si>
  <si>
    <t>Actro You(L) 550/SiSy 40kg; EB21; pravý</t>
  </si>
  <si>
    <t>Actro You(L) 600/SiSy 40kg; EB21; ľavý</t>
  </si>
  <si>
    <t>Actro You(L) 600/SiSy 40kg; EB21; pravý</t>
  </si>
  <si>
    <t>Actro You(XL) 450/SiSy 70kg; EB21</t>
  </si>
  <si>
    <t>Actro You(XL) 500/SiSy 70kg; EB21</t>
  </si>
  <si>
    <t>Actro You(XL) 550/SiSy 70kg; EB21</t>
  </si>
  <si>
    <t>Actro You(XL) 600/SiSy 70kg; EB21</t>
  </si>
  <si>
    <t>Actro You(XL) 650/SiSy 70kg; EB21</t>
  </si>
  <si>
    <t>Actro You(XL) 450/SiSy 70kg; EB21; ľavý</t>
  </si>
  <si>
    <t>Actro You(XL) 450/SiSy 70kg; EB21; pravý</t>
  </si>
  <si>
    <t>Actro You(XL) 500/SiSy 70kg; EB21; ľavý</t>
  </si>
  <si>
    <t>Actro You(XL) 500/SiSy 70kg; EB21; pravý</t>
  </si>
  <si>
    <t>Actro You(XL) 550/SiSy 70kg; EB21; ľavý</t>
  </si>
  <si>
    <t>Actro You(XL) 550/SiSy 70kg; EB21; pravý</t>
  </si>
  <si>
    <t>Actro You(XL) 600/SiSy 70kg; EB21; ľavý</t>
  </si>
  <si>
    <t>Actro You(XL) 600/SiSy 70kg; EB21; pravý</t>
  </si>
  <si>
    <t>Actro You(XL) 650/SiSy 70kg; EB21; ľavý</t>
  </si>
  <si>
    <t>Actro You(XL) 650/SiSy 70kg; EB21; pravý</t>
  </si>
  <si>
    <t>Actro You - Push to open Silent; &lt;10kg</t>
  </si>
  <si>
    <t>Actro You - Push to open Silent; 8-20kg</t>
  </si>
  <si>
    <t>Actro You - Push to open Silent; 10-40kg</t>
  </si>
  <si>
    <t>Actro You - Push to open Silent; 20-70kg</t>
  </si>
  <si>
    <t>Push to open Synchro / tyč 2.000 mm</t>
  </si>
  <si>
    <t>Push to open Synchro / spojka</t>
  </si>
  <si>
    <t>Push to open Synchro /dvojitý adap.Actro</t>
  </si>
  <si>
    <t>Push to open Synchro /flexibilný adaptér</t>
  </si>
  <si>
    <t>Push to open Synchro /posunutie tyče</t>
  </si>
  <si>
    <t>Quadro You(S) 270/SiSy 10kg; EB21</t>
  </si>
  <si>
    <t>Quadro You(S) 300/SiSy 10kg; EB21</t>
  </si>
  <si>
    <t>Quadro You(S) 350/SiSy 10kg; EB21</t>
  </si>
  <si>
    <t>Quadro You(S) 270/SiSy 10kg; EB21; ľavý</t>
  </si>
  <si>
    <t>Quadro You(S) 270/SiSy 10kg; EB21; pravý</t>
  </si>
  <si>
    <t>Quadro You(S) 300/SiSy 10kg; EB21; ľavý</t>
  </si>
  <si>
    <t>Quadro You(S) 300/SiSy 10kg; EB21; pravý</t>
  </si>
  <si>
    <t>Quadro You(S) 350/SiSy 10kg; EB21; ľavý</t>
  </si>
  <si>
    <t>Quadro You(S) 350/SiSy 10kg; EB21; pravý</t>
  </si>
  <si>
    <t>Quadro You(M) 270/SiSy 20kg; EB21</t>
  </si>
  <si>
    <t>Quadro You(M) 300/SiSy 20kg; EB21</t>
  </si>
  <si>
    <t>Quadro You(M) 350/SiSy 25kg; EB21</t>
  </si>
  <si>
    <t>Quadro You(M) 400/SiSy 30kg; EB21</t>
  </si>
  <si>
    <t>Quadro You(M) 450/SiSy 30kg; EB21</t>
  </si>
  <si>
    <t>Quadro You(M) 500/SiSy 30kg; EB21</t>
  </si>
  <si>
    <t>Quadro You(M) 550/SiSy 30kg; EB21</t>
  </si>
  <si>
    <t>Quadro You(M) 600/SiSy 25kg; EB21</t>
  </si>
  <si>
    <t>Quadro You(M) 270/SiSy 20kg; EB21; ľavý</t>
  </si>
  <si>
    <t>Quadro You(M) 270/SiSy 20kg; EB21; pravý</t>
  </si>
  <si>
    <t>Quadro You(M) 300/SiSy 20kg; EB21; ľavý</t>
  </si>
  <si>
    <t>Quadro You(M) 300/SiSy 20kg; EB21; pravý</t>
  </si>
  <si>
    <t>Quadro You(M) 350/SiSy 25kg; EB21; ľavý</t>
  </si>
  <si>
    <t>Quadro You(M) 350/SiSy 25kg; EB21; pravý</t>
  </si>
  <si>
    <t>Quadro You(M) 400/SiSy 30kg; EB21; ľavý</t>
  </si>
  <si>
    <t>Quadro You(M) 400/SiSy 30kg; EB21; pravý</t>
  </si>
  <si>
    <t>Quadro You(M) 450/SiSy 30kg; EB21; ľavý</t>
  </si>
  <si>
    <t>Quadro You(M) 450/SiSy 30kg; EB21; pravý</t>
  </si>
  <si>
    <t>Quadro You(M) 500/SiSy 30kg; EB21; ľavý</t>
  </si>
  <si>
    <t>Quadro You(M) 500/SiSy 30kg; EB21; pravý</t>
  </si>
  <si>
    <t>Quadro You(M) 550/SiSy 30kg; EB21; ľavý</t>
  </si>
  <si>
    <t>Quadro You(M) 550/SiSy 30kg; EB21; pravý</t>
  </si>
  <si>
    <t>Quadro You(M) 600/SiSy 25kg; EB21; ľavý</t>
  </si>
  <si>
    <t>Quadro You(M) 600/SiSy 25kg; EB21; pravý</t>
  </si>
  <si>
    <t>Quadro You - Push to open Silent; &lt;10kg</t>
  </si>
  <si>
    <t>Quadro You - Push to open Silent; 8-20kg</t>
  </si>
  <si>
    <t>Quadro You - Push to open Silent; 10-30kg</t>
  </si>
  <si>
    <t>Quadro You(M) 270/P2O 20kg; EB21</t>
  </si>
  <si>
    <t>Quadro You(M) 300/P2O 20kg; EB21</t>
  </si>
  <si>
    <t>Quadro You(M) 350/P2O 25kg; EB21</t>
  </si>
  <si>
    <t>Quadro You(M) 400/P2O 30kg; EB21</t>
  </si>
  <si>
    <t>Quadro You(M) 450/P2O 30kg; EB21</t>
  </si>
  <si>
    <t>Quadro You(M) 500/P2O 30kg; EB21</t>
  </si>
  <si>
    <t>Quadro You(M) 550/P2O 30kg; EB21</t>
  </si>
  <si>
    <t>Quadro You(M) 600/P2O 25kg; EB21</t>
  </si>
  <si>
    <t>Quadro You(M) 270/P2O 20kg; EB21; ľavý</t>
  </si>
  <si>
    <t>Quadro You(M) 270/P2O 20kg; EB21; pravý</t>
  </si>
  <si>
    <t>Quadro You(M) 300/P2O 20kg; EB21; ľavý</t>
  </si>
  <si>
    <t>Quadro You(M) 300/P2O 20kg; EB21; pravý</t>
  </si>
  <si>
    <t>Quadro You(M) 350/P2O 25kg; EB21; ľavý</t>
  </si>
  <si>
    <t>Quadro You(M) 350/P2O 25kg; EB21; pravý</t>
  </si>
  <si>
    <t>Quadro You(M) 400/P2O 30kg; EB21; ľavý</t>
  </si>
  <si>
    <t>Quadro You(M) 400/P2O 30kg; EB21; pravý</t>
  </si>
  <si>
    <t>Quadro You(M) 450/P2O 30kg; EB21; ľavý</t>
  </si>
  <si>
    <t>Quadro You(M) 450/P2O 30kg; EB21; pravý</t>
  </si>
  <si>
    <t>Quadro You(M) 500/P2O 30kg; EB21; ľavý</t>
  </si>
  <si>
    <t>Quadro You(M) 500/P2O 30kg; EB21; pravý</t>
  </si>
  <si>
    <t>Quadro You(M) 550/P2O 30kg; EB21; ľavý</t>
  </si>
  <si>
    <t>Quadro You(M) 550/P2O 30kg; EB21; pravý</t>
  </si>
  <si>
    <t>Quadro You(M) 600/P2O 25kg; EB21; ľavý</t>
  </si>
  <si>
    <t>Quadro You(M) 600/P2O 25kg; EB21; pravý</t>
  </si>
  <si>
    <t>Push to open Synchro / adaptér typ A</t>
  </si>
  <si>
    <t>ss</t>
  </si>
  <si>
    <t>SENSYS 8657i 165st. B12,5/TH52</t>
  </si>
  <si>
    <t>SENSYS 8657 165st. B12,5/TH52 (bez SiSy)</t>
  </si>
  <si>
    <t>SENSYS 8687 165st. B12,5/TH52 (pre P2O)</t>
  </si>
  <si>
    <t>Podložka SENSYS k naskrut./D=1,5 mm</t>
  </si>
  <si>
    <t>Podlož.SENSYS s predm.skr.D=1,5(exc.)</t>
  </si>
  <si>
    <t xml:space="preserve"> =SVYHLEDAT(B1038;'[CP_vzor_2016-HSR-news.xlsm]CENÍK'!$B$4:$I$45000;2;NEPRAVDA)</t>
  </si>
  <si>
    <t xml:space="preserve"> =SVYHLEDAT(B1038;'[CP_vzor_2016-HSR-news.xlsm]CENÍK'!$B$4:$I$45000;8;NEPRAVDA)</t>
  </si>
  <si>
    <t xml:space="preserve"> =SVYHLEDAT(B1038;'[CP_vzor_2016-HSR-news.xlsm]CENÍK'!$B$4:$I$45000;6;NEPRAVDA)</t>
  </si>
  <si>
    <t>…</t>
  </si>
  <si>
    <t>CZK</t>
  </si>
  <si>
    <t>SK</t>
  </si>
  <si>
    <t>HU</t>
  </si>
  <si>
    <t>jazyk B</t>
  </si>
  <si>
    <t xml:space="preserve"> Základní údaje</t>
  </si>
  <si>
    <t xml:space="preserve"> Základné údaje</t>
  </si>
  <si>
    <t>Alapadatok</t>
  </si>
  <si>
    <t>Pokračovat na:</t>
  </si>
  <si>
    <t>Pokračovať na:</t>
  </si>
  <si>
    <t>Folytatás itt:</t>
  </si>
  <si>
    <t>Főoldal</t>
  </si>
  <si>
    <t xml:space="preserve"> Vstupní data</t>
  </si>
  <si>
    <t xml:space="preserve"> Vstupné dáta</t>
  </si>
  <si>
    <t>Beviteli adatok</t>
  </si>
  <si>
    <t xml:space="preserve"> Výběr typu skřínky</t>
  </si>
  <si>
    <t xml:space="preserve"> Výber typu skrinky</t>
  </si>
  <si>
    <t>Szekrény típusának kiválasztása</t>
  </si>
  <si>
    <t xml:space="preserve"> Objednávka</t>
  </si>
  <si>
    <t>Megrendelés</t>
  </si>
  <si>
    <t>Zpět na:</t>
  </si>
  <si>
    <t>Späť na:</t>
  </si>
  <si>
    <t>Vissza ide:</t>
  </si>
  <si>
    <t>Vpřed na:</t>
  </si>
  <si>
    <t>Vpred na:</t>
  </si>
  <si>
    <t>Előre ide:</t>
  </si>
  <si>
    <t>&lt;&lt;  zpět</t>
  </si>
  <si>
    <t>&lt;&lt;  späť</t>
  </si>
  <si>
    <t>&lt;&lt; vissza</t>
  </si>
  <si>
    <t>vpřed  &gt;&gt;</t>
  </si>
  <si>
    <t>vpred  &gt;&gt;</t>
  </si>
  <si>
    <t>előre &gt;&gt;</t>
  </si>
  <si>
    <t>nahoru</t>
  </si>
  <si>
    <t>hore</t>
  </si>
  <si>
    <t>Tetejére</t>
  </si>
  <si>
    <t xml:space="preserve"> Základní údaje // Nápověda</t>
  </si>
  <si>
    <t xml:space="preserve"> Základné údaje // Nápoveda</t>
  </si>
  <si>
    <t>Alapinformációk // Súgó</t>
  </si>
  <si>
    <t xml:space="preserve"> Nápověda</t>
  </si>
  <si>
    <t xml:space="preserve"> Nápoveda</t>
  </si>
  <si>
    <t>Súgó</t>
  </si>
  <si>
    <t>WingLine L - konfigurátor</t>
  </si>
  <si>
    <t>Zadejte vstupní údaje v mm do modrých políček</t>
  </si>
  <si>
    <t>Zadajte vstupné údaje do modrých políčok v mm</t>
  </si>
  <si>
    <t>Írja be a kék mezőkbe a bemeneti adatokat mm-ben</t>
  </si>
  <si>
    <t>Pokud po vyplnění soubor uložíte, budete mít uvedené údaje nastavené jako výchozí pro další použití</t>
  </si>
  <si>
    <t>Pokiaľ po vyplnení súbor uložíte, budete mať uvedené údaje nastavené ako východzie pri ďalšom použití</t>
  </si>
  <si>
    <t>Ha a kitöltés után elmenti a fájlt, akkor a további használatnál alapértelmezettként a megadott adatok lesznek beállítva.</t>
  </si>
  <si>
    <t>výška křídla</t>
  </si>
  <si>
    <t>výška krídla</t>
  </si>
  <si>
    <t>???</t>
  </si>
  <si>
    <t>šířka křídla</t>
  </si>
  <si>
    <t>šírka krídla</t>
  </si>
  <si>
    <t>tloušťka křídla</t>
  </si>
  <si>
    <t>hrúbka krídla</t>
  </si>
  <si>
    <t>materiál dveří</t>
  </si>
  <si>
    <t>materiál dverí</t>
  </si>
  <si>
    <t>barevné provedení</t>
  </si>
  <si>
    <t>farebné prevedenie</t>
  </si>
  <si>
    <t>počet křídel</t>
  </si>
  <si>
    <t>počet krídel</t>
  </si>
  <si>
    <t>4-křídlová skříň</t>
  </si>
  <si>
    <t>4-krídlová skriňa</t>
  </si>
  <si>
    <t>2-křídlová skříň, otvírání vlevo</t>
  </si>
  <si>
    <t>2-krídlová skriňa, otváranie vľavo</t>
  </si>
  <si>
    <t>2-křídlová skříň, otvírání vpravo</t>
  </si>
  <si>
    <t>2-krídlová skriňa, otváranie vpravo</t>
  </si>
  <si>
    <t>Vybrané</t>
  </si>
  <si>
    <t>Vybraté</t>
  </si>
  <si>
    <t>alsó hézag</t>
  </si>
  <si>
    <t>Bez otvírací jednotky</t>
  </si>
  <si>
    <t>Bez otváracej jednotky</t>
  </si>
  <si>
    <t>Způsob otevírání a zavíraní</t>
  </si>
  <si>
    <t>Spôsob otvárania a zatvárania</t>
  </si>
  <si>
    <t>Lehkým zatlačením na dveře se tyto automaticky otevřou, zavírají se pak ručně</t>
  </si>
  <si>
    <t>Ľahkým zatlačením na dvere sa tieto automaticky a tlmene otvoria, zatvárajú sa potom ručne</t>
  </si>
  <si>
    <t>Lehkým tahem za úchytku spustíte samočinné otvírání. Do zavřené polohy se zatlačí ručně</t>
  </si>
  <si>
    <t>Ľahkým ťahom za úchytku spustíte samočinné tlmené otváranie. Do zatvorenej polohy sa zatlačia ručne</t>
  </si>
  <si>
    <t>Krátkým tahem za úchytku spustíte samočinné otvírání. Do zavřené polohy se vrací tlumeně</t>
  </si>
  <si>
    <t>Krátkym ťahom za úchytku spustíte samočinné tlmené otváranie. Do zatvorenej polohy se vrací tiež tlmene</t>
  </si>
  <si>
    <t>Dveře se otvírají a zavírají ručně</t>
  </si>
  <si>
    <t>Dvere sa otvárajú a zatvárajú ručne</t>
  </si>
  <si>
    <t>výška křídla od 500 do 2.600 mm</t>
  </si>
  <si>
    <t>výška krídla od 500 až 2.600 mm</t>
  </si>
  <si>
    <t>šířka křídla od 250 do 600 mm</t>
  </si>
  <si>
    <t>šírka krídla od 250 až 600 mm</t>
  </si>
  <si>
    <t>tloušťka křídla od 16 do 25 mm</t>
  </si>
  <si>
    <t>hrúbka krídla od 16 do 25 mm</t>
  </si>
  <si>
    <t>hmotnost jednoho křídla</t>
  </si>
  <si>
    <t>hmotnosť jedného krídla</t>
  </si>
  <si>
    <t>Hmotnost křídla je přesáhnutá !</t>
  </si>
  <si>
    <t>Hmotnosť krídla je presiahnutá !</t>
  </si>
  <si>
    <t>Udělej úpravy v zadání</t>
  </si>
  <si>
    <t>Urob úpravy v zadání</t>
  </si>
  <si>
    <t>Výběr aretace dveří</t>
  </si>
  <si>
    <t>Výber aretácie dverí</t>
  </si>
  <si>
    <t>Aretace mechanická</t>
  </si>
  <si>
    <t>Aretácia mechanická</t>
  </si>
  <si>
    <t>Aretace magnetická Standard</t>
  </si>
  <si>
    <t>Aretácia magnetická Standard</t>
  </si>
  <si>
    <t>jenom šedá</t>
  </si>
  <si>
    <t>len sivá</t>
  </si>
  <si>
    <t>jenom bílá nebo černá</t>
  </si>
  <si>
    <t>len biela alebo čierna</t>
  </si>
  <si>
    <t>Aretace magnetická Design</t>
  </si>
  <si>
    <t>Aretácia magnetická Design</t>
  </si>
  <si>
    <t>Pro variantu:</t>
  </si>
  <si>
    <t>Pre variant :</t>
  </si>
  <si>
    <t>bez úchytky</t>
  </si>
  <si>
    <t>s úchytkou</t>
  </si>
  <si>
    <t>mechanická</t>
  </si>
  <si>
    <t>magnetická Standard</t>
  </si>
  <si>
    <t>magnetická Design</t>
  </si>
  <si>
    <t>vodorovná mezistěna ustupuje o 3 mm od hrany boku</t>
  </si>
  <si>
    <t>vodorovná medzistená ustupuje o 3mm od hrany boku</t>
  </si>
  <si>
    <t>vodorovná mezistěna ustupuje o 13 mm od hrany boku</t>
  </si>
  <si>
    <t>vodorovná medzistená ustupuje o 13mm od hrany boku</t>
  </si>
  <si>
    <t>vodorovná mezistěna ustupuje o 8 mm od hrany boku</t>
  </si>
  <si>
    <t>vodorovná medzistená ustupuje o 8mm od hrany boku</t>
  </si>
  <si>
    <t>Pro vybraný způsob otevírání není potřebná žádná aretace</t>
  </si>
  <si>
    <t>Pre vami vybratý spôsob otvárania nie je potrebná žiadna aretácia</t>
  </si>
  <si>
    <t>Nemáte vyplněná všechna pole!</t>
  </si>
  <si>
    <t>Nemáte vyplnené všetky polia !</t>
  </si>
  <si>
    <t>Nincs minden mező kitöltve!</t>
  </si>
  <si>
    <t>OK - všechna potřebná pole jsou vyplněná</t>
  </si>
  <si>
    <t>OK - všetky potrebné polia sú vyplnené.</t>
  </si>
  <si>
    <t>OK - minden kötelező mező kitöltésre került.</t>
  </si>
  <si>
    <t>Středové skládací závěsy</t>
  </si>
  <si>
    <t>Stredové skladaci závesy</t>
  </si>
  <si>
    <t>miskový seřiditelný na vruty</t>
  </si>
  <si>
    <t>miskový nastaviteľný na skrutky</t>
  </si>
  <si>
    <t>miskový seřiditelný s hmoždinami</t>
  </si>
  <si>
    <t>miskový nastaviteľný s hmoždinkami</t>
  </si>
  <si>
    <t>rychlomontážní seřiditelný</t>
  </si>
  <si>
    <t>rýchlomontážny nastaviteľný</t>
  </si>
  <si>
    <t>rychlomontážní standardní</t>
  </si>
  <si>
    <t>rýchlomontážny štandardný</t>
  </si>
  <si>
    <t>nastavení mezery +/- 2 mm</t>
  </si>
  <si>
    <t>nastavenie medzery +- 2mm</t>
  </si>
  <si>
    <t>nastavení mezery +/- 1 mm</t>
  </si>
  <si>
    <t>nastavenie medzery +- 1mm</t>
  </si>
  <si>
    <t>nastavení výšky +/- 2 mm</t>
  </si>
  <si>
    <t>nastavenie výšky +- 2mm</t>
  </si>
  <si>
    <t>nastavení mezery = NELZE</t>
  </si>
  <si>
    <t>nastavenie medzery = NIE JE MOŽNÉ</t>
  </si>
  <si>
    <t>nastavení výšky = NELZE</t>
  </si>
  <si>
    <t>nastavenie výšky = NIE JE MOŽNÉ</t>
  </si>
  <si>
    <t>Poloha spodního profilu</t>
  </si>
  <si>
    <t>Poloha spodného profilu</t>
  </si>
  <si>
    <t>spodní profil</t>
  </si>
  <si>
    <t>spodný profil</t>
  </si>
  <si>
    <t>pod dnem</t>
  </si>
  <si>
    <t>pod dnom</t>
  </si>
  <si>
    <t>na dně</t>
  </si>
  <si>
    <t>na dne</t>
  </si>
  <si>
    <t>bez spodního profilu</t>
  </si>
  <si>
    <t>bez spodného profilu</t>
  </si>
  <si>
    <t>standardní řešení</t>
  </si>
  <si>
    <t>štandardné riešenie</t>
  </si>
  <si>
    <t>v tomto případě se kvůli spodnímu vozíku objednává opačná sada (pravá vers.levá) a horní vozík se správné otočí</t>
  </si>
  <si>
    <t>v tomto prípade sa kvôli spodnému vozíku objednáva opačná sada (pravá vers.ľavá) a na hornom vozíku sa vykoná jeho správne otočenie</t>
  </si>
  <si>
    <t>řešení bez spodního profilu ve spojení s Push to move NEDOPORUČUJEME!</t>
  </si>
  <si>
    <t>riešenie bez spodného profilu je problematické v spojení s Push to move otváraním. Preto ho NEODPORÚČAME !</t>
  </si>
  <si>
    <t>stříbrná</t>
  </si>
  <si>
    <t>strieborná</t>
  </si>
  <si>
    <t>bílá</t>
  </si>
  <si>
    <t>biela</t>
  </si>
  <si>
    <t>antracit</t>
  </si>
  <si>
    <t>laminovaná deska</t>
  </si>
  <si>
    <t>laminovaná doska</t>
  </si>
  <si>
    <t>MDF deska</t>
  </si>
  <si>
    <t>MDF doska</t>
  </si>
  <si>
    <t>Vysvětlivky :</t>
  </si>
  <si>
    <t>Vysvetlivky :</t>
  </si>
  <si>
    <t>Magyarázat:</t>
  </si>
  <si>
    <t>ANO</t>
  </si>
  <si>
    <t>ÁNO</t>
  </si>
  <si>
    <t>NE</t>
  </si>
  <si>
    <t>NIE</t>
  </si>
  <si>
    <t>Tlačítko "RESET" funguje pouze pokud je aktivní funkce MAKRO. Pokud není aktivní, musíte pole vymazat ručně.</t>
  </si>
  <si>
    <t>Tlačidlo "RESET" funguje len pri zapnutej funkcii MAKRO. Pokiaľ nie je zapnutá, musíte polia vymazať ručne.</t>
  </si>
  <si>
    <t>A "RESET" gomb csak akkor működik, ha a MAKRO funkció aktív. Ha nem aktív, akkor a mezőket kézzel kell törölni.</t>
  </si>
  <si>
    <t xml:space="preserve">Každou novou konfiguraci začněte tlačítkem RESET
</t>
  </si>
  <si>
    <t>Každú novú konfiguráciu začnite tlačidlom RESET</t>
  </si>
  <si>
    <t>Új konfiguráció indítása és minden törlése a RESET gombbal</t>
  </si>
  <si>
    <t>Vyberte požadovaný typ kování (TopLine XL, TopLine L, WingLine L)</t>
  </si>
  <si>
    <t>Vyberte požadovaný typ kovania (TopLine XL, TopLine L, WingLine L)</t>
  </si>
  <si>
    <t>Zadejte vstupní data:</t>
  </si>
  <si>
    <t>Zadajte vstupné dáta :</t>
  </si>
  <si>
    <t>Adja meg a bemeneti adatokat:</t>
  </si>
  <si>
    <t>rozměry skříňě resp. dveří</t>
  </si>
  <si>
    <t>rozmery skrinky resp. dveríy</t>
  </si>
  <si>
    <t>postupně vyberte parametry kování</t>
  </si>
  <si>
    <t>postupne vyberte jednotlivé parametre toho ktorého typu kovania</t>
  </si>
  <si>
    <t>Po ukončení této části se posunutím vpřed</t>
  </si>
  <si>
    <t>Po ukončení tejto technickej časti sa ďalším posunutím vpred</t>
  </si>
  <si>
    <t>dostanete na objednávku kování</t>
  </si>
  <si>
    <t>dostanete na dokončenú objednávku</t>
  </si>
  <si>
    <t>Kliknutím na tlačítko</t>
  </si>
  <si>
    <t xml:space="preserve">Kliknutím na tlačítko </t>
  </si>
  <si>
    <t>se pomocí Makra</t>
  </si>
  <si>
    <t>sa pomocou Makra</t>
  </si>
  <si>
    <t>vytvoří samostatný soubor = Objednávka</t>
  </si>
  <si>
    <t>vytvorí samostatný súbor - Objednávka</t>
  </si>
  <si>
    <t>Při ukončování konfigurátoru doporučujeme zavřít ho bez uložení.</t>
  </si>
  <si>
    <t>Pri ukončovaní konfigurátora odporúčame zatvoriť ho bez uloženia.</t>
  </si>
  <si>
    <t>A konfigurátor bezárásakor javasoljuk, hogy mentés nélkül zárja be a konfigurátort.</t>
  </si>
  <si>
    <t>Tím docílíte původní výchozí nastavení, t.j. všechno bude vynulované.</t>
  </si>
  <si>
    <t>Tým docielite pôvodné, východzie nastavenie, t.j. všetko bude vynulované.</t>
  </si>
  <si>
    <t>Ezzel elérjük az eredeti alapértelmezett beállításokat, azaz minden visszaáll.</t>
  </si>
  <si>
    <t>V opačném případe musíte použít tlačítko RESET, nebo nulovat ručně.</t>
  </si>
  <si>
    <t>V opačnom prípade musíte použiť tlačidlo RESET, alebo nulovať ručne.</t>
  </si>
  <si>
    <t>Ellenkező esetben a RESET gombot kell használni, vagy kézzel kell visszaállítani.</t>
  </si>
  <si>
    <t>Autor neposkytuje žádné záruky. Uživatel nemá nárok na náhradu škody, včetne následných škod, ušlého zisku, zvláštních, nepřímých nebo náhodných škod.</t>
  </si>
  <si>
    <t>Autor neposkytuje žiadne záruky. Užívateľ nemá nárok na náhradu škody, vrátane následných škôd, ušlého zisku, zvláštnych, nepriamych alebo náhodných škôd.</t>
  </si>
  <si>
    <t>A szerző nem vállal garanciát. A felhasználó nem jogosult kártérítésre, beleértve a következményes károkat, az elmaradt hasznot, a speciális, közvetett vagy véletlen károkat.</t>
  </si>
  <si>
    <t>Prodejce:</t>
  </si>
  <si>
    <t>Predajca:</t>
  </si>
  <si>
    <t>Odběratel</t>
  </si>
  <si>
    <t>Odberateľ</t>
  </si>
  <si>
    <t>Adresa</t>
  </si>
  <si>
    <t>Fakturační adresa</t>
  </si>
  <si>
    <t>Fakturačná adresa</t>
  </si>
  <si>
    <t>Dodací adresa</t>
  </si>
  <si>
    <t>Dodacia adresa</t>
  </si>
  <si>
    <t>IČO</t>
  </si>
  <si>
    <t>DIČ</t>
  </si>
  <si>
    <t>DIČ / IČDPH</t>
  </si>
  <si>
    <t>Telefon, fax, e-mail</t>
  </si>
  <si>
    <t>Telefón, fax, e-mail</t>
  </si>
  <si>
    <t xml:space="preserve">Sleva od prodejce [%]: </t>
  </si>
  <si>
    <t xml:space="preserve">Zľava od predajcu [%]: </t>
  </si>
  <si>
    <t>Objednávka</t>
  </si>
  <si>
    <t>Číslo objednávky</t>
  </si>
  <si>
    <t>Zakázka</t>
  </si>
  <si>
    <t>Zákazka</t>
  </si>
  <si>
    <t>Číslo artiklu</t>
  </si>
  <si>
    <t>Název</t>
  </si>
  <si>
    <t>Názov</t>
  </si>
  <si>
    <t>balení</t>
  </si>
  <si>
    <t>balenie</t>
  </si>
  <si>
    <t>Sklad</t>
  </si>
  <si>
    <t>Počet</t>
  </si>
  <si>
    <t>Jednotková cena</t>
  </si>
  <si>
    <t>Celkem</t>
  </si>
  <si>
    <t>Celkom</t>
  </si>
  <si>
    <t>Změna</t>
  </si>
  <si>
    <t>Zmena</t>
  </si>
  <si>
    <t>Volné pole</t>
  </si>
  <si>
    <t>Voľné pole</t>
  </si>
  <si>
    <t>Kód prodejce</t>
  </si>
  <si>
    <t>Kód predajcu</t>
  </si>
  <si>
    <t xml:space="preserve">Verze </t>
  </si>
  <si>
    <t>Verzia</t>
  </si>
  <si>
    <t>1.0.3</t>
  </si>
  <si>
    <t>Platnost cenníku od</t>
  </si>
  <si>
    <t>Platnosť cenníku od</t>
  </si>
  <si>
    <t>Formulář pro identifikační údaje</t>
  </si>
  <si>
    <t>Formulár pre identifikačné údaje</t>
  </si>
  <si>
    <t>nákupní ceny, tj. ceny se slevou od prodejce</t>
  </si>
  <si>
    <t>nákupné ceny, tj. ceny so zľavou od predajcu</t>
  </si>
  <si>
    <t xml:space="preserve">Cena celkem bez DPH </t>
  </si>
  <si>
    <t xml:space="preserve">Cena ceľkom bez DPH </t>
  </si>
  <si>
    <t>Poznámka:</t>
  </si>
  <si>
    <t>Poznámka :</t>
  </si>
  <si>
    <t>Ve sloupci "Změna" můžete upravit počty kusů.</t>
  </si>
  <si>
    <t xml:space="preserve">V stĺpci "Zmena" môžeš upraviť počty kusov jednotlivých položiek. </t>
  </si>
  <si>
    <t>Po úpravě objednávky odfiltrujte prázné řádky ve sloupci "Počet".</t>
  </si>
  <si>
    <t>Po úprave objednávky odfiltruj prázné riadky pomocou filtru v stĺpci "Počet".</t>
  </si>
  <si>
    <t>Pokud chcete objednávku uložit nebo odeslat jako přílohu, vytvořte nový soubor kliknutím na 'Vytvořit objednávku'.</t>
  </si>
  <si>
    <t>Pokiaľ chceš objednávku uložiť alebo odoslať ako prílohu, vytvor nový súbor kliknutím na odkaz  'Vytvoriť objednávku'.</t>
  </si>
  <si>
    <t>VYTVOŘIT  OBJEDNÁVKU</t>
  </si>
  <si>
    <t>VYTVORIŤ  OBJEDNÁVKU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</si>
</sst>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-* #,##0.00\ &quot;€&quot;_-;\-* #,##0.00\ &quot;€&quot;_-;_-* &quot;-&quot;??\ &quot;€&quot;_-;_-@_-"/>
    <numFmt numFmtId="165" formatCode="0.0"/>
    <numFmt numFmtId="166" formatCode="#,##0.0000_ ;\-#,##0.0000\ "/>
    <numFmt numFmtId="167" formatCode="#,##0.00_ ;\-#,##0.00\ "/>
    <numFmt numFmtId="168" formatCode="_-* #,##0.0000\ [$€-1]_-;\-* #,##0.0000\ [$€-1]_-;_-* &quot;-&quot;??\ [$€-1]_-;_-@_-"/>
    <numFmt numFmtId="169" formatCode="#,##0&quot;.&quot;"/>
    <numFmt numFmtId="170" formatCode="#,##0&quot; mm&quot;"/>
  </numFmts>
  <fonts count="61">
    <font>
      <sz val="11"/>
      <color theme="1"/>
      <name val="RotisSanSerTE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9"/>
      <name val="Verdana"/>
      <family val="2"/>
      <charset val="238"/>
    </font>
    <font>
      <b/>
      <sz val="16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2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66CC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Verdana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2"/>
      <color rgb="FFFFFF0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theme="1"/>
      <name val="RotisSanSerTE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sz val="7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11"/>
      <color rgb="FFFF0000"/>
      <name val="RotisSanSerTEE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9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2B9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14996795556505021"/>
      </bottom>
      <diagonal/>
    </border>
    <border>
      <left/>
      <right/>
      <top style="medium">
        <color theme="1" tint="0.49998474074526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1" tint="0.499984740745262"/>
      </top>
      <bottom style="medium">
        <color theme="0" tint="-0.14996795556505021"/>
      </bottom>
      <diagonal/>
    </border>
    <border>
      <left style="medium">
        <color theme="4"/>
      </left>
      <right/>
      <top style="medium">
        <color theme="4"/>
      </top>
      <bottom style="medium">
        <color theme="4" tint="0.39994506668294322"/>
      </bottom>
      <diagonal/>
    </border>
    <border>
      <left/>
      <right/>
      <top style="medium">
        <color theme="4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/>
      </top>
      <bottom style="medium">
        <color theme="4" tint="0.3999450666829432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theme="0" tint="-0.34998626667073579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 style="medium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9" fillId="0" borderId="0"/>
    <xf numFmtId="164" fontId="41" fillId="0" borderId="0" applyFont="0" applyFill="0" applyBorder="0" applyAlignment="0" applyProtection="0"/>
    <xf numFmtId="0" fontId="1" fillId="0" borderId="0"/>
  </cellStyleXfs>
  <cellXfs count="365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Protection="1">
      <protection hidden="1"/>
    </xf>
    <xf numFmtId="0" fontId="23" fillId="2" borderId="0" xfId="0" applyFont="1" applyFill="1" applyProtection="1"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23" fillId="3" borderId="0" xfId="0" applyFont="1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24" fillId="2" borderId="0" xfId="0" applyFont="1" applyFill="1" applyAlignment="1" applyProtection="1">
      <alignment horizontal="right" vertical="center"/>
      <protection hidden="1"/>
    </xf>
    <xf numFmtId="0" fontId="26" fillId="4" borderId="0" xfId="0" applyFont="1" applyFill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left"/>
      <protection hidden="1"/>
    </xf>
    <xf numFmtId="0" fontId="0" fillId="6" borderId="1" xfId="0" applyFill="1" applyBorder="1" applyAlignment="1" applyProtection="1">
      <alignment horizontal="left"/>
      <protection hidden="1"/>
    </xf>
    <xf numFmtId="0" fontId="0" fillId="7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4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28" fillId="0" borderId="0" xfId="0" applyFont="1" applyProtection="1"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33" fillId="0" borderId="0" xfId="0" applyFont="1" applyAlignment="1" applyProtection="1">
      <alignment vertical="center" wrapText="1"/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horizontal="left" wrapText="1"/>
      <protection hidden="1"/>
    </xf>
    <xf numFmtId="44" fontId="2" fillId="0" borderId="0" xfId="5" applyNumberFormat="1" applyFont="1" applyProtection="1">
      <protection hidden="1"/>
    </xf>
    <xf numFmtId="0" fontId="23" fillId="2" borderId="16" xfId="1" applyFont="1" applyFill="1" applyBorder="1" applyAlignment="1" applyProtection="1">
      <alignment horizontal="center" vertical="center"/>
      <protection hidden="1"/>
    </xf>
    <xf numFmtId="0" fontId="2" fillId="13" borderId="22" xfId="0" applyFont="1" applyFill="1" applyBorder="1" applyProtection="1">
      <protection locked="0"/>
    </xf>
    <xf numFmtId="0" fontId="42" fillId="0" borderId="0" xfId="0" applyFont="1" applyProtection="1">
      <protection hidden="1"/>
    </xf>
    <xf numFmtId="0" fontId="2" fillId="13" borderId="23" xfId="0" applyFont="1" applyFill="1" applyBorder="1" applyProtection="1">
      <protection locked="0"/>
    </xf>
    <xf numFmtId="0" fontId="42" fillId="0" borderId="0" xfId="0" applyFont="1" applyAlignment="1" applyProtection="1">
      <alignment horizontal="right" vertical="center"/>
      <protection hidden="1"/>
    </xf>
    <xf numFmtId="14" fontId="42" fillId="0" borderId="24" xfId="0" applyNumberFormat="1" applyFont="1" applyBorder="1" applyAlignment="1" applyProtection="1">
      <alignment horizontal="center" vertical="center"/>
      <protection hidden="1"/>
    </xf>
    <xf numFmtId="0" fontId="2" fillId="13" borderId="25" xfId="0" applyFont="1" applyFill="1" applyBorder="1" applyProtection="1">
      <protection locked="0"/>
    </xf>
    <xf numFmtId="14" fontId="42" fillId="3" borderId="24" xfId="0" applyNumberFormat="1" applyFont="1" applyFill="1" applyBorder="1" applyAlignment="1" applyProtection="1">
      <alignment horizontal="center" vertical="center"/>
      <protection hidden="1"/>
    </xf>
    <xf numFmtId="44" fontId="2" fillId="0" borderId="0" xfId="5" applyNumberFormat="1" applyFont="1" applyBorder="1" applyProtection="1">
      <protection hidden="1"/>
    </xf>
    <xf numFmtId="0" fontId="43" fillId="0" borderId="26" xfId="0" applyFont="1" applyBorder="1" applyProtection="1">
      <protection hidden="1"/>
    </xf>
    <xf numFmtId="0" fontId="43" fillId="11" borderId="27" xfId="0" applyFont="1" applyFill="1" applyBorder="1" applyProtection="1">
      <protection hidden="1"/>
    </xf>
    <xf numFmtId="0" fontId="43" fillId="0" borderId="27" xfId="0" applyFont="1" applyBorder="1" applyProtection="1">
      <protection hidden="1"/>
    </xf>
    <xf numFmtId="0" fontId="43" fillId="11" borderId="27" xfId="0" applyFont="1" applyFill="1" applyBorder="1" applyAlignment="1" applyProtection="1">
      <alignment horizontal="center" textRotation="90"/>
      <protection hidden="1"/>
    </xf>
    <xf numFmtId="44" fontId="43" fillId="11" borderId="27" xfId="5" applyNumberFormat="1" applyFont="1" applyFill="1" applyBorder="1" applyAlignment="1" applyProtection="1">
      <alignment horizontal="center"/>
      <protection hidden="1"/>
    </xf>
    <xf numFmtId="44" fontId="43" fillId="0" borderId="27" xfId="5" applyNumberFormat="1" applyFont="1" applyFill="1" applyBorder="1" applyAlignment="1" applyProtection="1">
      <alignment horizontal="center" wrapText="1"/>
      <protection hidden="1"/>
    </xf>
    <xf numFmtId="0" fontId="43" fillId="11" borderId="27" xfId="0" applyFont="1" applyFill="1" applyBorder="1" applyAlignment="1" applyProtection="1">
      <alignment horizontal="center" wrapText="1"/>
      <protection hidden="1"/>
    </xf>
    <xf numFmtId="0" fontId="43" fillId="11" borderId="28" xfId="0" applyFont="1" applyFill="1" applyBorder="1" applyAlignment="1" applyProtection="1">
      <alignment horizontal="center"/>
      <protection hidden="1"/>
    </xf>
    <xf numFmtId="166" fontId="44" fillId="14" borderId="1" xfId="6" applyNumberFormat="1" applyFont="1" applyFill="1" applyBorder="1" applyAlignment="1" applyProtection="1">
      <alignment horizontal="center" vertical="center" wrapText="1"/>
      <protection hidden="1"/>
    </xf>
    <xf numFmtId="0" fontId="23" fillId="13" borderId="0" xfId="0" applyFont="1" applyFill="1" applyProtection="1">
      <protection hidden="1"/>
    </xf>
    <xf numFmtId="3" fontId="7" fillId="15" borderId="29" xfId="0" applyNumberFormat="1" applyFont="1" applyFill="1" applyBorder="1" applyAlignment="1" applyProtection="1">
      <alignment horizontal="left" vertical="center"/>
      <protection hidden="1"/>
    </xf>
    <xf numFmtId="0" fontId="42" fillId="0" borderId="30" xfId="0" applyFont="1" applyBorder="1" applyProtection="1">
      <protection hidden="1"/>
    </xf>
    <xf numFmtId="0" fontId="42" fillId="0" borderId="30" xfId="0" applyFont="1" applyBorder="1" applyAlignment="1" applyProtection="1">
      <alignment horizontal="center" vertical="center"/>
      <protection hidden="1"/>
    </xf>
    <xf numFmtId="0" fontId="7" fillId="15" borderId="30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Protection="1">
      <protection hidden="1"/>
    </xf>
    <xf numFmtId="167" fontId="3" fillId="0" borderId="30" xfId="6" applyNumberFormat="1" applyFont="1" applyBorder="1" applyProtection="1">
      <protection hidden="1"/>
    </xf>
    <xf numFmtId="168" fontId="44" fillId="0" borderId="30" xfId="6" applyNumberFormat="1" applyFont="1" applyBorder="1" applyProtection="1">
      <protection hidden="1"/>
    </xf>
    <xf numFmtId="166" fontId="44" fillId="14" borderId="31" xfId="6" applyNumberFormat="1" applyFont="1" applyFill="1" applyBorder="1" applyProtection="1">
      <protection hidden="1"/>
    </xf>
    <xf numFmtId="3" fontId="7" fillId="15" borderId="32" xfId="0" applyNumberFormat="1" applyFont="1" applyFill="1" applyBorder="1" applyAlignment="1" applyProtection="1">
      <alignment horizontal="left" vertical="center"/>
      <protection hidden="1"/>
    </xf>
    <xf numFmtId="0" fontId="42" fillId="0" borderId="33" xfId="0" applyFont="1" applyBorder="1" applyProtection="1">
      <protection hidden="1"/>
    </xf>
    <xf numFmtId="0" fontId="42" fillId="0" borderId="33" xfId="0" applyFont="1" applyBorder="1" applyAlignment="1" applyProtection="1">
      <alignment horizontal="center" vertical="center"/>
      <protection hidden="1"/>
    </xf>
    <xf numFmtId="0" fontId="7" fillId="15" borderId="33" xfId="0" applyFont="1" applyFill="1" applyBorder="1" applyAlignment="1" applyProtection="1">
      <alignment horizontal="center" vertical="center"/>
      <protection locked="0"/>
    </xf>
    <xf numFmtId="0" fontId="7" fillId="0" borderId="33" xfId="0" applyFont="1" applyBorder="1" applyProtection="1">
      <protection hidden="1"/>
    </xf>
    <xf numFmtId="167" fontId="3" fillId="0" borderId="33" xfId="6" applyNumberFormat="1" applyFont="1" applyBorder="1" applyProtection="1">
      <protection hidden="1"/>
    </xf>
    <xf numFmtId="168" fontId="44" fillId="0" borderId="33" xfId="6" applyNumberFormat="1" applyFont="1" applyBorder="1" applyProtection="1">
      <protection hidden="1"/>
    </xf>
    <xf numFmtId="0" fontId="42" fillId="0" borderId="33" xfId="0" applyFont="1" applyBorder="1" applyAlignment="1" applyProtection="1">
      <alignment horizontal="center" vertical="center"/>
      <protection locked="0"/>
    </xf>
    <xf numFmtId="49" fontId="42" fillId="0" borderId="34" xfId="0" applyNumberFormat="1" applyFont="1" applyBorder="1" applyAlignment="1" applyProtection="1">
      <alignment horizontal="center" vertical="center"/>
      <protection locked="0"/>
    </xf>
    <xf numFmtId="3" fontId="7" fillId="15" borderId="35" xfId="0" applyNumberFormat="1" applyFont="1" applyFill="1" applyBorder="1" applyAlignment="1" applyProtection="1">
      <alignment horizontal="left" vertical="center"/>
      <protection hidden="1"/>
    </xf>
    <xf numFmtId="0" fontId="42" fillId="0" borderId="36" xfId="0" applyFont="1" applyBorder="1" applyProtection="1">
      <protection hidden="1"/>
    </xf>
    <xf numFmtId="0" fontId="42" fillId="0" borderId="36" xfId="0" applyFont="1" applyBorder="1" applyAlignment="1" applyProtection="1">
      <alignment horizontal="center" vertical="center"/>
      <protection hidden="1"/>
    </xf>
    <xf numFmtId="0" fontId="7" fillId="15" borderId="36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Protection="1">
      <protection hidden="1"/>
    </xf>
    <xf numFmtId="167" fontId="3" fillId="0" borderId="36" xfId="6" applyNumberFormat="1" applyFont="1" applyBorder="1" applyProtection="1">
      <protection hidden="1"/>
    </xf>
    <xf numFmtId="168" fontId="44" fillId="0" borderId="36" xfId="6" applyNumberFormat="1" applyFont="1" applyBorder="1" applyProtection="1">
      <protection hidden="1"/>
    </xf>
    <xf numFmtId="0" fontId="42" fillId="0" borderId="36" xfId="0" applyFont="1" applyBorder="1" applyAlignment="1" applyProtection="1">
      <alignment horizontal="center" vertical="center"/>
      <protection locked="0"/>
    </xf>
    <xf numFmtId="3" fontId="7" fillId="15" borderId="38" xfId="0" applyNumberFormat="1" applyFont="1" applyFill="1" applyBorder="1" applyAlignment="1" applyProtection="1">
      <alignment horizontal="left" vertical="center"/>
      <protection hidden="1"/>
    </xf>
    <xf numFmtId="0" fontId="42" fillId="0" borderId="39" xfId="0" applyFont="1" applyBorder="1" applyProtection="1">
      <protection hidden="1"/>
    </xf>
    <xf numFmtId="0" fontId="42" fillId="0" borderId="39" xfId="0" applyFont="1" applyBorder="1" applyAlignment="1" applyProtection="1">
      <alignment horizontal="center" vertical="center"/>
      <protection hidden="1"/>
    </xf>
    <xf numFmtId="0" fontId="7" fillId="15" borderId="39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Protection="1">
      <protection hidden="1"/>
    </xf>
    <xf numFmtId="167" fontId="3" fillId="0" borderId="39" xfId="6" applyNumberFormat="1" applyFont="1" applyBorder="1" applyProtection="1">
      <protection hidden="1"/>
    </xf>
    <xf numFmtId="168" fontId="44" fillId="0" borderId="39" xfId="6" applyNumberFormat="1" applyFont="1" applyBorder="1" applyProtection="1">
      <protection hidden="1"/>
    </xf>
    <xf numFmtId="1" fontId="42" fillId="0" borderId="39" xfId="0" applyNumberFormat="1" applyFont="1" applyBorder="1" applyAlignment="1" applyProtection="1">
      <alignment horizontal="center"/>
      <protection locked="0"/>
    </xf>
    <xf numFmtId="49" fontId="42" fillId="0" borderId="40" xfId="0" applyNumberFormat="1" applyFont="1" applyBorder="1" applyAlignment="1" applyProtection="1">
      <alignment horizontal="center"/>
      <protection locked="0"/>
    </xf>
    <xf numFmtId="0" fontId="23" fillId="16" borderId="0" xfId="0" applyFont="1" applyFill="1" applyProtection="1">
      <protection hidden="1"/>
    </xf>
    <xf numFmtId="3" fontId="7" fillId="15" borderId="41" xfId="0" applyNumberFormat="1" applyFont="1" applyFill="1" applyBorder="1" applyAlignment="1" applyProtection="1">
      <alignment horizontal="left" vertical="center"/>
      <protection hidden="1"/>
    </xf>
    <xf numFmtId="0" fontId="42" fillId="0" borderId="31" xfId="0" applyFont="1" applyBorder="1" applyProtection="1">
      <protection hidden="1"/>
    </xf>
    <xf numFmtId="0" fontId="42" fillId="0" borderId="31" xfId="0" applyFont="1" applyBorder="1" applyAlignment="1" applyProtection="1">
      <alignment horizontal="center" vertical="center"/>
      <protection hidden="1"/>
    </xf>
    <xf numFmtId="0" fontId="7" fillId="15" borderId="31" xfId="0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Protection="1">
      <protection hidden="1"/>
    </xf>
    <xf numFmtId="167" fontId="3" fillId="0" borderId="31" xfId="6" applyNumberFormat="1" applyFont="1" applyBorder="1" applyProtection="1">
      <protection hidden="1"/>
    </xf>
    <xf numFmtId="168" fontId="44" fillId="0" borderId="31" xfId="6" applyNumberFormat="1" applyFont="1" applyBorder="1" applyProtection="1">
      <protection hidden="1"/>
    </xf>
    <xf numFmtId="1" fontId="42" fillId="0" borderId="31" xfId="0" applyNumberFormat="1" applyFont="1" applyBorder="1" applyAlignment="1" applyProtection="1">
      <alignment horizontal="center"/>
      <protection locked="0"/>
    </xf>
    <xf numFmtId="49" fontId="42" fillId="0" borderId="42" xfId="0" applyNumberFormat="1" applyFont="1" applyBorder="1" applyAlignment="1" applyProtection="1">
      <alignment horizontal="center"/>
      <protection locked="0"/>
    </xf>
    <xf numFmtId="0" fontId="23" fillId="17" borderId="0" xfId="0" applyFont="1" applyFill="1" applyProtection="1">
      <protection hidden="1"/>
    </xf>
    <xf numFmtId="3" fontId="7" fillId="15" borderId="43" xfId="0" applyNumberFormat="1" applyFont="1" applyFill="1" applyBorder="1" applyAlignment="1" applyProtection="1">
      <alignment horizontal="left" vertical="center"/>
      <protection hidden="1"/>
    </xf>
    <xf numFmtId="0" fontId="42" fillId="0" borderId="44" xfId="0" applyFont="1" applyBorder="1" applyProtection="1">
      <protection hidden="1"/>
    </xf>
    <xf numFmtId="0" fontId="42" fillId="0" borderId="44" xfId="0" applyFont="1" applyBorder="1" applyAlignment="1" applyProtection="1">
      <alignment horizontal="center" vertical="center"/>
      <protection hidden="1"/>
    </xf>
    <xf numFmtId="0" fontId="7" fillId="15" borderId="44" xfId="0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Protection="1">
      <protection hidden="1"/>
    </xf>
    <xf numFmtId="167" fontId="3" fillId="0" borderId="44" xfId="6" applyNumberFormat="1" applyFont="1" applyBorder="1" applyProtection="1">
      <protection hidden="1"/>
    </xf>
    <xf numFmtId="168" fontId="44" fillId="0" borderId="44" xfId="6" applyNumberFormat="1" applyFont="1" applyBorder="1" applyProtection="1">
      <protection hidden="1"/>
    </xf>
    <xf numFmtId="1" fontId="42" fillId="0" borderId="44" xfId="0" applyNumberFormat="1" applyFont="1" applyBorder="1" applyAlignment="1" applyProtection="1">
      <alignment horizontal="center"/>
      <protection locked="0"/>
    </xf>
    <xf numFmtId="49" fontId="42" fillId="0" borderId="45" xfId="0" applyNumberFormat="1" applyFont="1" applyBorder="1" applyAlignment="1" applyProtection="1">
      <alignment horizontal="center"/>
      <protection locked="0"/>
    </xf>
    <xf numFmtId="3" fontId="7" fillId="15" borderId="46" xfId="0" applyNumberFormat="1" applyFont="1" applyFill="1" applyBorder="1" applyAlignment="1" applyProtection="1">
      <alignment horizontal="left" vertical="center"/>
      <protection hidden="1"/>
    </xf>
    <xf numFmtId="0" fontId="42" fillId="0" borderId="47" xfId="0" applyFont="1" applyBorder="1" applyProtection="1">
      <protection hidden="1"/>
    </xf>
    <xf numFmtId="0" fontId="42" fillId="0" borderId="47" xfId="0" applyFont="1" applyBorder="1" applyAlignment="1" applyProtection="1">
      <alignment horizontal="center" vertical="center"/>
      <protection hidden="1"/>
    </xf>
    <xf numFmtId="0" fontId="7" fillId="15" borderId="47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Protection="1">
      <protection hidden="1"/>
    </xf>
    <xf numFmtId="167" fontId="3" fillId="0" borderId="47" xfId="6" applyNumberFormat="1" applyFont="1" applyBorder="1" applyProtection="1">
      <protection hidden="1"/>
    </xf>
    <xf numFmtId="168" fontId="44" fillId="0" borderId="47" xfId="6" applyNumberFormat="1" applyFont="1" applyBorder="1" applyProtection="1">
      <protection hidden="1"/>
    </xf>
    <xf numFmtId="1" fontId="42" fillId="0" borderId="47" xfId="0" applyNumberFormat="1" applyFont="1" applyBorder="1" applyAlignment="1" applyProtection="1">
      <alignment horizontal="center"/>
      <protection locked="0"/>
    </xf>
    <xf numFmtId="49" fontId="42" fillId="0" borderId="48" xfId="0" applyNumberFormat="1" applyFont="1" applyBorder="1" applyAlignment="1" applyProtection="1">
      <alignment horizontal="center"/>
      <protection locked="0"/>
    </xf>
    <xf numFmtId="3" fontId="7" fillId="15" borderId="49" xfId="0" applyNumberFormat="1" applyFont="1" applyFill="1" applyBorder="1" applyAlignment="1" applyProtection="1">
      <alignment horizontal="left" vertical="center"/>
      <protection hidden="1"/>
    </xf>
    <xf numFmtId="0" fontId="42" fillId="0" borderId="50" xfId="0" applyFont="1" applyBorder="1" applyProtection="1">
      <protection hidden="1"/>
    </xf>
    <xf numFmtId="0" fontId="42" fillId="0" borderId="50" xfId="0" applyFont="1" applyBorder="1" applyAlignment="1" applyProtection="1">
      <alignment horizontal="center" vertical="center"/>
      <protection hidden="1"/>
    </xf>
    <xf numFmtId="0" fontId="7" fillId="15" borderId="50" xfId="0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Protection="1">
      <protection hidden="1"/>
    </xf>
    <xf numFmtId="167" fontId="3" fillId="0" borderId="50" xfId="6" applyNumberFormat="1" applyFont="1" applyBorder="1" applyProtection="1">
      <protection hidden="1"/>
    </xf>
    <xf numFmtId="168" fontId="44" fillId="0" borderId="50" xfId="6" applyNumberFormat="1" applyFont="1" applyBorder="1" applyProtection="1">
      <protection hidden="1"/>
    </xf>
    <xf numFmtId="3" fontId="7" fillId="15" borderId="51" xfId="0" applyNumberFormat="1" applyFont="1" applyFill="1" applyBorder="1" applyAlignment="1" applyProtection="1">
      <alignment horizontal="left" vertical="center"/>
      <protection hidden="1"/>
    </xf>
    <xf numFmtId="0" fontId="42" fillId="0" borderId="52" xfId="0" applyFont="1" applyBorder="1" applyProtection="1">
      <protection hidden="1"/>
    </xf>
    <xf numFmtId="0" fontId="42" fillId="0" borderId="52" xfId="0" applyFont="1" applyBorder="1" applyAlignment="1" applyProtection="1">
      <alignment horizontal="center" vertical="center"/>
      <protection hidden="1"/>
    </xf>
    <xf numFmtId="0" fontId="7" fillId="15" borderId="52" xfId="0" applyFont="1" applyFill="1" applyBorder="1" applyAlignment="1" applyProtection="1">
      <alignment horizontal="center" vertical="center"/>
      <protection locked="0"/>
    </xf>
    <xf numFmtId="0" fontId="7" fillId="0" borderId="52" xfId="0" applyFont="1" applyBorder="1" applyProtection="1">
      <protection hidden="1"/>
    </xf>
    <xf numFmtId="167" fontId="3" fillId="0" borderId="52" xfId="6" applyNumberFormat="1" applyFont="1" applyBorder="1" applyProtection="1">
      <protection hidden="1"/>
    </xf>
    <xf numFmtId="168" fontId="44" fillId="0" borderId="52" xfId="6" applyNumberFormat="1" applyFont="1" applyBorder="1" applyProtection="1">
      <protection hidden="1"/>
    </xf>
    <xf numFmtId="1" fontId="42" fillId="0" borderId="52" xfId="0" applyNumberFormat="1" applyFont="1" applyBorder="1" applyAlignment="1" applyProtection="1">
      <alignment horizontal="center"/>
      <protection locked="0"/>
    </xf>
    <xf numFmtId="49" fontId="42" fillId="0" borderId="53" xfId="0" applyNumberFormat="1" applyFont="1" applyBorder="1" applyAlignment="1" applyProtection="1">
      <alignment horizontal="center"/>
      <protection locked="0"/>
    </xf>
    <xf numFmtId="3" fontId="7" fillId="15" borderId="54" xfId="0" applyNumberFormat="1" applyFont="1" applyFill="1" applyBorder="1" applyAlignment="1" applyProtection="1">
      <alignment horizontal="left" vertical="center"/>
      <protection hidden="1"/>
    </xf>
    <xf numFmtId="0" fontId="42" fillId="0" borderId="55" xfId="0" applyFont="1" applyBorder="1" applyProtection="1">
      <protection hidden="1"/>
    </xf>
    <xf numFmtId="0" fontId="42" fillId="0" borderId="55" xfId="0" applyFont="1" applyBorder="1" applyAlignment="1" applyProtection="1">
      <alignment horizontal="center" vertical="center"/>
      <protection hidden="1"/>
    </xf>
    <xf numFmtId="0" fontId="7" fillId="15" borderId="55" xfId="0" applyFont="1" applyFill="1" applyBorder="1" applyAlignment="1" applyProtection="1">
      <alignment horizontal="center" vertical="center"/>
      <protection locked="0"/>
    </xf>
    <xf numFmtId="0" fontId="7" fillId="0" borderId="55" xfId="0" applyFont="1" applyBorder="1" applyProtection="1">
      <protection hidden="1"/>
    </xf>
    <xf numFmtId="167" fontId="3" fillId="0" borderId="55" xfId="6" applyNumberFormat="1" applyFont="1" applyBorder="1" applyProtection="1">
      <protection hidden="1"/>
    </xf>
    <xf numFmtId="168" fontId="44" fillId="0" borderId="55" xfId="6" applyNumberFormat="1" applyFont="1" applyBorder="1" applyProtection="1">
      <protection hidden="1"/>
    </xf>
    <xf numFmtId="1" fontId="42" fillId="0" borderId="55" xfId="0" applyNumberFormat="1" applyFont="1" applyBorder="1" applyAlignment="1" applyProtection="1">
      <alignment horizontal="center"/>
      <protection locked="0"/>
    </xf>
    <xf numFmtId="49" fontId="42" fillId="0" borderId="56" xfId="0" applyNumberFormat="1" applyFont="1" applyBorder="1" applyAlignment="1" applyProtection="1">
      <alignment horizontal="center"/>
      <protection locked="0"/>
    </xf>
    <xf numFmtId="3" fontId="7" fillId="15" borderId="57" xfId="0" applyNumberFormat="1" applyFont="1" applyFill="1" applyBorder="1" applyAlignment="1" applyProtection="1">
      <alignment horizontal="left" vertical="center"/>
      <protection hidden="1"/>
    </xf>
    <xf numFmtId="0" fontId="42" fillId="0" borderId="58" xfId="0" applyFont="1" applyBorder="1" applyProtection="1">
      <protection hidden="1"/>
    </xf>
    <xf numFmtId="0" fontId="42" fillId="0" borderId="58" xfId="0" applyFont="1" applyBorder="1" applyAlignment="1" applyProtection="1">
      <alignment horizontal="center" vertical="center"/>
      <protection hidden="1"/>
    </xf>
    <xf numFmtId="0" fontId="7" fillId="15" borderId="58" xfId="0" applyFont="1" applyFill="1" applyBorder="1" applyAlignment="1" applyProtection="1">
      <alignment horizontal="center" vertical="center"/>
      <protection locked="0"/>
    </xf>
    <xf numFmtId="0" fontId="7" fillId="0" borderId="58" xfId="0" applyFont="1" applyBorder="1" applyProtection="1">
      <protection hidden="1"/>
    </xf>
    <xf numFmtId="167" fontId="3" fillId="0" borderId="58" xfId="6" applyNumberFormat="1" applyFont="1" applyBorder="1" applyProtection="1">
      <protection hidden="1"/>
    </xf>
    <xf numFmtId="168" fontId="44" fillId="0" borderId="58" xfId="6" applyNumberFormat="1" applyFont="1" applyBorder="1" applyProtection="1">
      <protection hidden="1"/>
    </xf>
    <xf numFmtId="1" fontId="42" fillId="0" borderId="58" xfId="0" applyNumberFormat="1" applyFont="1" applyBorder="1" applyAlignment="1" applyProtection="1">
      <alignment horizontal="center"/>
      <protection locked="0"/>
    </xf>
    <xf numFmtId="49" fontId="42" fillId="0" borderId="59" xfId="0" applyNumberFormat="1" applyFont="1" applyBorder="1" applyAlignment="1" applyProtection="1">
      <alignment horizontal="center"/>
      <protection locked="0"/>
    </xf>
    <xf numFmtId="3" fontId="7" fillId="15" borderId="60" xfId="0" applyNumberFormat="1" applyFont="1" applyFill="1" applyBorder="1" applyAlignment="1" applyProtection="1">
      <alignment horizontal="left" vertical="center"/>
      <protection hidden="1"/>
    </xf>
    <xf numFmtId="0" fontId="42" fillId="0" borderId="61" xfId="0" applyFont="1" applyBorder="1" applyProtection="1">
      <protection hidden="1"/>
    </xf>
    <xf numFmtId="0" fontId="42" fillId="0" borderId="61" xfId="0" applyFont="1" applyBorder="1" applyAlignment="1" applyProtection="1">
      <alignment horizontal="center" vertical="center"/>
      <protection hidden="1"/>
    </xf>
    <xf numFmtId="0" fontId="7" fillId="15" borderId="61" xfId="0" applyFont="1" applyFill="1" applyBorder="1" applyAlignment="1" applyProtection="1">
      <alignment horizontal="center" vertical="center"/>
      <protection locked="0"/>
    </xf>
    <xf numFmtId="0" fontId="7" fillId="0" borderId="61" xfId="0" applyFont="1" applyBorder="1" applyProtection="1">
      <protection hidden="1"/>
    </xf>
    <xf numFmtId="167" fontId="3" fillId="0" borderId="61" xfId="6" applyNumberFormat="1" applyFont="1" applyBorder="1" applyProtection="1">
      <protection hidden="1"/>
    </xf>
    <xf numFmtId="168" fontId="44" fillId="0" borderId="61" xfId="6" applyNumberFormat="1" applyFont="1" applyBorder="1" applyProtection="1">
      <protection hidden="1"/>
    </xf>
    <xf numFmtId="1" fontId="42" fillId="0" borderId="61" xfId="0" applyNumberFormat="1" applyFont="1" applyBorder="1" applyAlignment="1" applyProtection="1">
      <alignment horizontal="center"/>
      <protection locked="0"/>
    </xf>
    <xf numFmtId="49" fontId="42" fillId="0" borderId="62" xfId="0" applyNumberFormat="1" applyFont="1" applyBorder="1" applyAlignment="1" applyProtection="1">
      <alignment horizontal="center"/>
      <protection locked="0"/>
    </xf>
    <xf numFmtId="3" fontId="7" fillId="0" borderId="54" xfId="0" applyNumberFormat="1" applyFont="1" applyBorder="1" applyAlignment="1" applyProtection="1">
      <alignment horizontal="left" vertical="center"/>
      <protection hidden="1"/>
    </xf>
    <xf numFmtId="0" fontId="7" fillId="0" borderId="55" xfId="0" applyFont="1" applyBorder="1" applyAlignment="1" applyProtection="1">
      <alignment horizontal="center" vertical="center"/>
      <protection locked="0"/>
    </xf>
    <xf numFmtId="3" fontId="7" fillId="15" borderId="63" xfId="0" applyNumberFormat="1" applyFont="1" applyFill="1" applyBorder="1" applyAlignment="1" applyProtection="1">
      <alignment horizontal="left" vertical="center"/>
      <protection hidden="1"/>
    </xf>
    <xf numFmtId="0" fontId="42" fillId="0" borderId="64" xfId="0" applyFont="1" applyBorder="1" applyProtection="1">
      <protection hidden="1"/>
    </xf>
    <xf numFmtId="0" fontId="42" fillId="0" borderId="64" xfId="0" applyFont="1" applyBorder="1" applyAlignment="1" applyProtection="1">
      <alignment horizontal="center" vertical="center"/>
      <protection hidden="1"/>
    </xf>
    <xf numFmtId="0" fontId="7" fillId="15" borderId="64" xfId="0" applyFont="1" applyFill="1" applyBorder="1" applyAlignment="1" applyProtection="1">
      <alignment horizontal="center" vertical="center"/>
      <protection locked="0"/>
    </xf>
    <xf numFmtId="0" fontId="7" fillId="0" borderId="64" xfId="0" applyFont="1" applyBorder="1" applyProtection="1">
      <protection hidden="1"/>
    </xf>
    <xf numFmtId="167" fontId="3" fillId="0" borderId="64" xfId="6" applyNumberFormat="1" applyFont="1" applyBorder="1" applyProtection="1">
      <protection hidden="1"/>
    </xf>
    <xf numFmtId="3" fontId="7" fillId="0" borderId="51" xfId="0" applyNumberFormat="1" applyFont="1" applyBorder="1" applyAlignment="1" applyProtection="1">
      <alignment horizontal="left" vertical="center"/>
      <protection hidden="1"/>
    </xf>
    <xf numFmtId="0" fontId="7" fillId="0" borderId="52" xfId="0" applyFont="1" applyBorder="1" applyAlignment="1" applyProtection="1">
      <alignment horizontal="center" vertical="center"/>
      <protection locked="0"/>
    </xf>
    <xf numFmtId="3" fontId="7" fillId="18" borderId="57" xfId="0" applyNumberFormat="1" applyFont="1" applyFill="1" applyBorder="1" applyAlignment="1" applyProtection="1">
      <alignment horizontal="left" vertical="center"/>
      <protection hidden="1"/>
    </xf>
    <xf numFmtId="0" fontId="42" fillId="10" borderId="58" xfId="0" applyFont="1" applyFill="1" applyBorder="1" applyProtection="1">
      <protection hidden="1"/>
    </xf>
    <xf numFmtId="0" fontId="42" fillId="10" borderId="58" xfId="0" applyFont="1" applyFill="1" applyBorder="1" applyAlignment="1" applyProtection="1">
      <alignment horizontal="center" vertical="center"/>
      <protection hidden="1"/>
    </xf>
    <xf numFmtId="0" fontId="7" fillId="18" borderId="58" xfId="0" applyFont="1" applyFill="1" applyBorder="1" applyAlignment="1" applyProtection="1">
      <alignment horizontal="center" vertical="center"/>
      <protection locked="0"/>
    </xf>
    <xf numFmtId="0" fontId="7" fillId="10" borderId="58" xfId="0" applyFont="1" applyFill="1" applyBorder="1" applyProtection="1">
      <protection hidden="1"/>
    </xf>
    <xf numFmtId="167" fontId="3" fillId="10" borderId="58" xfId="6" applyNumberFormat="1" applyFont="1" applyFill="1" applyBorder="1" applyProtection="1">
      <protection hidden="1"/>
    </xf>
    <xf numFmtId="168" fontId="44" fillId="10" borderId="58" xfId="6" applyNumberFormat="1" applyFont="1" applyFill="1" applyBorder="1" applyProtection="1">
      <protection hidden="1"/>
    </xf>
    <xf numFmtId="1" fontId="42" fillId="10" borderId="58" xfId="0" applyNumberFormat="1" applyFont="1" applyFill="1" applyBorder="1" applyAlignment="1" applyProtection="1">
      <alignment horizontal="center"/>
      <protection locked="0"/>
    </xf>
    <xf numFmtId="49" fontId="42" fillId="10" borderId="59" xfId="0" applyNumberFormat="1" applyFont="1" applyFill="1" applyBorder="1" applyAlignment="1" applyProtection="1">
      <alignment horizontal="center"/>
      <protection locked="0"/>
    </xf>
    <xf numFmtId="3" fontId="7" fillId="18" borderId="46" xfId="0" applyNumberFormat="1" applyFont="1" applyFill="1" applyBorder="1" applyAlignment="1" applyProtection="1">
      <alignment horizontal="left" vertical="center"/>
      <protection hidden="1"/>
    </xf>
    <xf numFmtId="0" fontId="42" fillId="10" borderId="47" xfId="0" applyFont="1" applyFill="1" applyBorder="1" applyProtection="1">
      <protection hidden="1"/>
    </xf>
    <xf numFmtId="0" fontId="42" fillId="10" borderId="47" xfId="0" applyFont="1" applyFill="1" applyBorder="1" applyAlignment="1" applyProtection="1">
      <alignment horizontal="center" vertical="center"/>
      <protection hidden="1"/>
    </xf>
    <xf numFmtId="0" fontId="7" fillId="18" borderId="47" xfId="0" applyFont="1" applyFill="1" applyBorder="1" applyAlignment="1" applyProtection="1">
      <alignment horizontal="center" vertical="center"/>
      <protection locked="0"/>
    </xf>
    <xf numFmtId="0" fontId="7" fillId="10" borderId="47" xfId="0" applyFont="1" applyFill="1" applyBorder="1" applyProtection="1">
      <protection hidden="1"/>
    </xf>
    <xf numFmtId="167" fontId="3" fillId="10" borderId="47" xfId="6" applyNumberFormat="1" applyFont="1" applyFill="1" applyBorder="1" applyProtection="1">
      <protection hidden="1"/>
    </xf>
    <xf numFmtId="168" fontId="44" fillId="10" borderId="47" xfId="6" applyNumberFormat="1" applyFont="1" applyFill="1" applyBorder="1" applyProtection="1">
      <protection hidden="1"/>
    </xf>
    <xf numFmtId="1" fontId="42" fillId="10" borderId="47" xfId="0" applyNumberFormat="1" applyFont="1" applyFill="1" applyBorder="1" applyAlignment="1" applyProtection="1">
      <alignment horizontal="center"/>
      <protection locked="0"/>
    </xf>
    <xf numFmtId="49" fontId="42" fillId="10" borderId="48" xfId="0" applyNumberFormat="1" applyFont="1" applyFill="1" applyBorder="1" applyAlignment="1" applyProtection="1">
      <alignment horizontal="center"/>
      <protection locked="0"/>
    </xf>
    <xf numFmtId="0" fontId="7" fillId="15" borderId="38" xfId="0" applyFont="1" applyFill="1" applyBorder="1" applyAlignment="1" applyProtection="1">
      <alignment horizontal="left" vertical="center"/>
      <protection hidden="1"/>
    </xf>
    <xf numFmtId="0" fontId="42" fillId="15" borderId="39" xfId="0" applyFont="1" applyFill="1" applyBorder="1" applyAlignment="1" applyProtection="1">
      <alignment horizontal="center" vertical="center"/>
      <protection hidden="1"/>
    </xf>
    <xf numFmtId="166" fontId="3" fillId="0" borderId="39" xfId="6" applyNumberFormat="1" applyFont="1" applyBorder="1" applyProtection="1">
      <protection hidden="1"/>
    </xf>
    <xf numFmtId="0" fontId="45" fillId="0" borderId="0" xfId="0" applyFont="1" applyProtection="1">
      <protection hidden="1"/>
    </xf>
    <xf numFmtId="0" fontId="45" fillId="15" borderId="0" xfId="0" applyFont="1" applyFill="1" applyAlignment="1" applyProtection="1">
      <alignment horizontal="center" vertical="center"/>
      <protection hidden="1"/>
    </xf>
    <xf numFmtId="0" fontId="26" fillId="15" borderId="0" xfId="0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166" fontId="46" fillId="0" borderId="0" xfId="6" applyNumberFormat="1" applyFont="1" applyProtection="1">
      <protection hidden="1"/>
    </xf>
    <xf numFmtId="1" fontId="42" fillId="0" borderId="36" xfId="0" applyNumberFormat="1" applyFont="1" applyBorder="1" applyAlignment="1" applyProtection="1">
      <alignment horizontal="center"/>
      <protection locked="0"/>
    </xf>
    <xf numFmtId="49" fontId="42" fillId="0" borderId="37" xfId="0" applyNumberFormat="1" applyFont="1" applyBorder="1" applyAlignment="1" applyProtection="1">
      <alignment horizontal="center"/>
      <protection locked="0"/>
    </xf>
    <xf numFmtId="167" fontId="3" fillId="0" borderId="65" xfId="6" applyNumberFormat="1" applyFont="1" applyBorder="1" applyProtection="1">
      <protection hidden="1"/>
    </xf>
    <xf numFmtId="3" fontId="7" fillId="15" borderId="66" xfId="0" applyNumberFormat="1" applyFont="1" applyFill="1" applyBorder="1" applyAlignment="1" applyProtection="1">
      <alignment horizontal="left" vertical="center"/>
      <protection hidden="1"/>
    </xf>
    <xf numFmtId="0" fontId="42" fillId="0" borderId="67" xfId="0" applyFont="1" applyBorder="1" applyProtection="1">
      <protection hidden="1"/>
    </xf>
    <xf numFmtId="1" fontId="42" fillId="0" borderId="67" xfId="0" applyNumberFormat="1" applyFont="1" applyBorder="1" applyAlignment="1" applyProtection="1">
      <alignment horizontal="center"/>
      <protection locked="0"/>
    </xf>
    <xf numFmtId="49" fontId="42" fillId="0" borderId="68" xfId="0" applyNumberFormat="1" applyFont="1" applyBorder="1" applyAlignment="1" applyProtection="1">
      <alignment horizontal="center"/>
      <protection locked="0"/>
    </xf>
    <xf numFmtId="0" fontId="23" fillId="0" borderId="0" xfId="0" applyFont="1"/>
    <xf numFmtId="0" fontId="25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3" borderId="0" xfId="0" applyFont="1" applyFill="1" applyProtection="1">
      <protection hidden="1"/>
    </xf>
    <xf numFmtId="0" fontId="23" fillId="3" borderId="0" xfId="0" applyFont="1" applyFill="1"/>
    <xf numFmtId="0" fontId="47" fillId="0" borderId="0" xfId="0" applyFont="1" applyAlignment="1" applyProtection="1">
      <alignment vertical="center"/>
      <protection hidden="1"/>
    </xf>
    <xf numFmtId="0" fontId="48" fillId="0" borderId="5" xfId="0" applyFont="1" applyBorder="1" applyAlignment="1" applyProtection="1">
      <alignment vertical="center"/>
      <protection hidden="1"/>
    </xf>
    <xf numFmtId="0" fontId="21" fillId="0" borderId="6" xfId="0" applyFont="1" applyBorder="1" applyAlignment="1" applyProtection="1">
      <alignment vertical="center"/>
      <protection hidden="1"/>
    </xf>
    <xf numFmtId="0" fontId="21" fillId="0" borderId="69" xfId="0" applyFont="1" applyBorder="1" applyAlignment="1" applyProtection="1">
      <alignment vertical="center"/>
      <protection hidden="1"/>
    </xf>
    <xf numFmtId="0" fontId="21" fillId="0" borderId="70" xfId="0" applyFont="1" applyBorder="1" applyAlignment="1" applyProtection="1">
      <alignment vertical="center"/>
      <protection hidden="1"/>
    </xf>
    <xf numFmtId="0" fontId="21" fillId="0" borderId="71" xfId="0" applyFont="1" applyBorder="1" applyAlignment="1" applyProtection="1">
      <alignment vertical="center"/>
      <protection hidden="1"/>
    </xf>
    <xf numFmtId="0" fontId="21" fillId="0" borderId="7" xfId="0" applyFont="1" applyBorder="1" applyAlignment="1" applyProtection="1">
      <alignment vertical="center"/>
      <protection hidden="1"/>
    </xf>
    <xf numFmtId="0" fontId="21" fillId="0" borderId="8" xfId="0" applyFont="1" applyBorder="1" applyAlignment="1" applyProtection="1">
      <alignment vertical="center"/>
      <protection hidden="1"/>
    </xf>
    <xf numFmtId="0" fontId="21" fillId="0" borderId="72" xfId="0" applyFont="1" applyBorder="1" applyAlignment="1" applyProtection="1">
      <alignment vertical="center"/>
      <protection hidden="1"/>
    </xf>
    <xf numFmtId="0" fontId="21" fillId="0" borderId="73" xfId="0" applyFont="1" applyBorder="1" applyAlignment="1" applyProtection="1">
      <alignment vertical="center"/>
      <protection hidden="1"/>
    </xf>
    <xf numFmtId="0" fontId="21" fillId="0" borderId="9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74" xfId="0" applyFont="1" applyBorder="1" applyAlignment="1" applyProtection="1">
      <alignment vertical="center"/>
      <protection hidden="1"/>
    </xf>
    <xf numFmtId="0" fontId="21" fillId="0" borderId="11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69" xfId="0" applyFont="1" applyBorder="1" applyAlignment="1" applyProtection="1">
      <alignment horizontal="left" vertical="center"/>
      <protection hidden="1"/>
    </xf>
    <xf numFmtId="0" fontId="21" fillId="0" borderId="74" xfId="0" applyFont="1" applyBorder="1" applyAlignment="1" applyProtection="1">
      <alignment horizontal="left" vertical="center"/>
      <protection hidden="1"/>
    </xf>
    <xf numFmtId="49" fontId="21" fillId="0" borderId="72" xfId="0" applyNumberFormat="1" applyFont="1" applyBorder="1" applyAlignment="1" applyProtection="1">
      <alignment horizontal="left" vertical="center"/>
      <protection hidden="1"/>
    </xf>
    <xf numFmtId="49" fontId="21" fillId="0" borderId="74" xfId="0" applyNumberFormat="1" applyFont="1" applyBorder="1" applyAlignment="1" applyProtection="1">
      <alignment vertical="center"/>
      <protection hidden="1"/>
    </xf>
    <xf numFmtId="0" fontId="49" fillId="13" borderId="0" xfId="0" applyFont="1" applyFill="1" applyAlignment="1" applyProtection="1">
      <alignment vertical="center"/>
      <protection hidden="1"/>
    </xf>
    <xf numFmtId="0" fontId="21" fillId="13" borderId="0" xfId="0" applyFont="1" applyFill="1" applyAlignment="1" applyProtection="1">
      <alignment vertical="center"/>
      <protection hidden="1"/>
    </xf>
    <xf numFmtId="0" fontId="5" fillId="13" borderId="0" xfId="0" applyFont="1" applyFill="1" applyAlignment="1" applyProtection="1">
      <alignment horizontal="left" vertical="center"/>
      <protection hidden="1"/>
    </xf>
    <xf numFmtId="0" fontId="5" fillId="13" borderId="0" xfId="0" applyFont="1" applyFill="1" applyAlignment="1" applyProtection="1">
      <alignment horizontal="right" vertical="center"/>
      <protection hidden="1"/>
    </xf>
    <xf numFmtId="0" fontId="8" fillId="0" borderId="75" xfId="0" applyFont="1" applyBorder="1" applyAlignment="1" applyProtection="1">
      <alignment wrapText="1"/>
      <protection hidden="1"/>
    </xf>
    <xf numFmtId="0" fontId="8" fillId="0" borderId="75" xfId="0" applyFont="1" applyBorder="1" applyAlignment="1" applyProtection="1">
      <alignment horizontal="left" textRotation="90" wrapText="1"/>
      <protection hidden="1"/>
    </xf>
    <xf numFmtId="0" fontId="8" fillId="0" borderId="75" xfId="0" applyFont="1" applyBorder="1" applyAlignment="1" applyProtection="1">
      <alignment horizontal="center" wrapText="1"/>
      <protection hidden="1"/>
    </xf>
    <xf numFmtId="0" fontId="8" fillId="0" borderId="75" xfId="0" applyFont="1" applyBorder="1" applyAlignment="1" applyProtection="1">
      <alignment horizontal="right" wrapText="1"/>
      <protection hidden="1"/>
    </xf>
    <xf numFmtId="0" fontId="8" fillId="0" borderId="75" xfId="0" applyFont="1" applyBorder="1" applyAlignment="1" applyProtection="1">
      <alignment horizontal="center" textRotation="90" wrapText="1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76" xfId="0" applyNumberFormat="1" applyFont="1" applyBorder="1" applyAlignment="1" applyProtection="1">
      <alignment horizontal="left" indent="2"/>
      <protection hidden="1"/>
    </xf>
    <xf numFmtId="0" fontId="9" fillId="0" borderId="77" xfId="0" applyFont="1" applyBorder="1" applyProtection="1">
      <protection hidden="1"/>
    </xf>
    <xf numFmtId="0" fontId="44" fillId="9" borderId="77" xfId="0" applyFont="1" applyFill="1" applyBorder="1" applyAlignment="1" applyProtection="1">
      <alignment horizontal="right"/>
      <protection locked="0"/>
    </xf>
    <xf numFmtId="0" fontId="51" fillId="0" borderId="77" xfId="0" applyFont="1" applyBorder="1" applyAlignment="1" applyProtection="1">
      <alignment horizontal="center"/>
      <protection hidden="1"/>
    </xf>
    <xf numFmtId="0" fontId="50" fillId="0" borderId="76" xfId="0" applyFont="1" applyBorder="1" applyAlignment="1" applyProtection="1">
      <alignment horizontal="center" vertical="center"/>
      <protection hidden="1"/>
    </xf>
    <xf numFmtId="2" fontId="52" fillId="0" borderId="77" xfId="0" applyNumberFormat="1" applyFont="1" applyBorder="1" applyAlignment="1" applyProtection="1">
      <alignment horizontal="center"/>
      <protection hidden="1"/>
    </xf>
    <xf numFmtId="4" fontId="9" fillId="0" borderId="76" xfId="0" applyNumberFormat="1" applyFont="1" applyBorder="1" applyProtection="1">
      <protection hidden="1"/>
    </xf>
    <xf numFmtId="1" fontId="9" fillId="13" borderId="77" xfId="0" applyNumberFormat="1" applyFont="1" applyFill="1" applyBorder="1" applyAlignment="1" applyProtection="1">
      <alignment horizontal="center"/>
      <protection locked="0"/>
    </xf>
    <xf numFmtId="0" fontId="9" fillId="0" borderId="77" xfId="0" applyFont="1" applyBorder="1" applyAlignment="1" applyProtection="1">
      <alignment horizont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9" borderId="76" xfId="0" applyFont="1" applyFill="1" applyBorder="1" applyAlignment="1" applyProtection="1">
      <alignment horizontal="right"/>
      <protection locked="0"/>
    </xf>
    <xf numFmtId="0" fontId="50" fillId="0" borderId="78" xfId="0" applyFont="1" applyBorder="1" applyAlignment="1" applyProtection="1">
      <alignment horizontal="center" vertical="center"/>
      <protection hidden="1"/>
    </xf>
    <xf numFmtId="2" fontId="52" fillId="0" borderId="78" xfId="0" applyNumberFormat="1" applyFont="1" applyBorder="1" applyAlignment="1" applyProtection="1">
      <alignment horizontal="center"/>
      <protection hidden="1"/>
    </xf>
    <xf numFmtId="4" fontId="9" fillId="0" borderId="78" xfId="0" applyNumberFormat="1" applyFont="1" applyBorder="1" applyProtection="1">
      <protection hidden="1"/>
    </xf>
    <xf numFmtId="1" fontId="9" fillId="13" borderId="78" xfId="0" applyNumberFormat="1" applyFont="1" applyFill="1" applyBorder="1" applyAlignment="1" applyProtection="1">
      <alignment horizontal="center"/>
      <protection locked="0"/>
    </xf>
    <xf numFmtId="0" fontId="9" fillId="0" borderId="78" xfId="0" applyFont="1" applyBorder="1" applyAlignment="1" applyProtection="1">
      <alignment horizontal="center"/>
      <protection hidden="1"/>
    </xf>
    <xf numFmtId="0" fontId="9" fillId="0" borderId="76" xfId="0" applyFont="1" applyBorder="1" applyProtection="1">
      <protection hidden="1"/>
    </xf>
    <xf numFmtId="2" fontId="9" fillId="0" borderId="76" xfId="0" applyNumberFormat="1" applyFont="1" applyBorder="1" applyAlignment="1" applyProtection="1">
      <alignment horizontal="right"/>
      <protection hidden="1"/>
    </xf>
    <xf numFmtId="2" fontId="52" fillId="0" borderId="76" xfId="0" applyNumberFormat="1" applyFont="1" applyBorder="1" applyAlignment="1" applyProtection="1">
      <alignment horizontal="center"/>
      <protection hidden="1"/>
    </xf>
    <xf numFmtId="1" fontId="9" fillId="13" borderId="76" xfId="0" applyNumberFormat="1" applyFont="1" applyFill="1" applyBorder="1" applyAlignment="1" applyProtection="1">
      <alignment horizontal="center"/>
      <protection locked="0"/>
    </xf>
    <xf numFmtId="0" fontId="9" fillId="0" borderId="76" xfId="0" applyFont="1" applyBorder="1" applyAlignment="1" applyProtection="1">
      <alignment horizontal="center"/>
      <protection hidden="1"/>
    </xf>
    <xf numFmtId="0" fontId="51" fillId="0" borderId="76" xfId="0" applyFont="1" applyBorder="1" applyAlignment="1" applyProtection="1">
      <alignment horizontal="center"/>
      <protection hidden="1"/>
    </xf>
    <xf numFmtId="2" fontId="9" fillId="0" borderId="0" xfId="0" applyNumberFormat="1" applyFont="1" applyProtection="1"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23" fillId="0" borderId="76" xfId="0" applyFont="1" applyBorder="1" applyProtection="1">
      <protection hidden="1"/>
    </xf>
    <xf numFmtId="49" fontId="7" fillId="0" borderId="76" xfId="0" applyNumberFormat="1" applyFont="1" applyBorder="1" applyAlignment="1" applyProtection="1">
      <alignment horizontal="center"/>
      <protection hidden="1"/>
    </xf>
    <xf numFmtId="0" fontId="7" fillId="0" borderId="76" xfId="0" applyFont="1" applyBorder="1" applyAlignment="1" applyProtection="1">
      <alignment horizontal="right"/>
      <protection hidden="1"/>
    </xf>
    <xf numFmtId="0" fontId="50" fillId="0" borderId="76" xfId="0" applyFont="1" applyBorder="1" applyAlignment="1" applyProtection="1">
      <alignment horizontal="right"/>
      <protection hidden="1"/>
    </xf>
    <xf numFmtId="2" fontId="53" fillId="0" borderId="0" xfId="0" applyNumberFormat="1" applyFont="1" applyProtection="1">
      <protection hidden="1"/>
    </xf>
    <xf numFmtId="0" fontId="44" fillId="0" borderId="0" xfId="0" applyFont="1" applyProtection="1">
      <protection hidden="1"/>
    </xf>
    <xf numFmtId="0" fontId="9" fillId="0" borderId="0" xfId="0" applyFont="1" applyAlignment="1" applyProtection="1">
      <alignment horizontal="center" vertical="top"/>
      <protection locked="0" hidden="1"/>
    </xf>
    <xf numFmtId="14" fontId="9" fillId="0" borderId="0" xfId="0" applyNumberFormat="1" applyFont="1" applyProtection="1">
      <protection hidden="1"/>
    </xf>
    <xf numFmtId="0" fontId="44" fillId="0" borderId="0" xfId="0" applyFont="1" applyAlignment="1" applyProtection="1">
      <alignment horizontal="left"/>
      <protection hidden="1"/>
    </xf>
    <xf numFmtId="3" fontId="9" fillId="0" borderId="77" xfId="0" applyNumberFormat="1" applyFont="1" applyBorder="1" applyAlignment="1" applyProtection="1">
      <alignment horizontal="left" indent="2"/>
      <protection hidden="1"/>
    </xf>
    <xf numFmtId="2" fontId="9" fillId="0" borderId="70" xfId="0" applyNumberFormat="1" applyFont="1" applyBorder="1" applyAlignment="1" applyProtection="1">
      <alignment horizontal="right"/>
      <protection hidden="1"/>
    </xf>
    <xf numFmtId="0" fontId="31" fillId="0" borderId="0" xfId="0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23" fillId="0" borderId="73" xfId="0" applyFont="1" applyBorder="1" applyProtection="1">
      <protection hidden="1"/>
    </xf>
    <xf numFmtId="0" fontId="28" fillId="0" borderId="73" xfId="0" applyFont="1" applyBorder="1" applyAlignment="1" applyProtection="1">
      <alignment horizontal="center"/>
      <protection hidden="1"/>
    </xf>
    <xf numFmtId="0" fontId="23" fillId="0" borderId="73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55" fillId="0" borderId="0" xfId="0" applyFont="1" applyProtection="1">
      <protection hidden="1"/>
    </xf>
    <xf numFmtId="0" fontId="56" fillId="0" borderId="0" xfId="0" applyFont="1" applyAlignment="1" applyProtection="1">
      <alignment horizontal="center"/>
      <protection hidden="1"/>
    </xf>
    <xf numFmtId="0" fontId="42" fillId="0" borderId="0" xfId="0" applyFont="1" applyAlignment="1" applyProtection="1">
      <alignment horizontal="center"/>
      <protection hidden="1"/>
    </xf>
    <xf numFmtId="0" fontId="23" fillId="19" borderId="0" xfId="0" applyFont="1" applyFill="1" applyAlignment="1" applyProtection="1">
      <alignment horizontal="left"/>
      <protection hidden="1"/>
    </xf>
    <xf numFmtId="0" fontId="28" fillId="0" borderId="0" xfId="0" applyFont="1" applyAlignment="1" applyProtection="1">
      <alignment horizontal="left"/>
      <protection hidden="1"/>
    </xf>
    <xf numFmtId="0" fontId="23" fillId="20" borderId="0" xfId="0" applyFont="1" applyFill="1" applyProtection="1">
      <protection hidden="1"/>
    </xf>
    <xf numFmtId="0" fontId="23" fillId="20" borderId="0" xfId="0" applyFont="1" applyFill="1" applyAlignment="1" applyProtection="1">
      <alignment horizontal="left"/>
      <protection hidden="1"/>
    </xf>
    <xf numFmtId="0" fontId="23" fillId="21" borderId="0" xfId="0" applyFont="1" applyFill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3" fillId="20" borderId="72" xfId="0" applyFont="1" applyFill="1" applyBorder="1" applyProtection="1"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46" fillId="22" borderId="0" xfId="0" applyFont="1" applyFill="1" applyAlignment="1" applyProtection="1">
      <alignment horizontal="center"/>
      <protection hidden="1"/>
    </xf>
    <xf numFmtId="0" fontId="8" fillId="0" borderId="75" xfId="0" applyFont="1" applyBorder="1" applyAlignment="1" applyProtection="1">
      <alignment horizontal="center" vertical="center" wrapText="1"/>
      <protection hidden="1"/>
    </xf>
    <xf numFmtId="0" fontId="30" fillId="12" borderId="81" xfId="0" applyFont="1" applyFill="1" applyBorder="1" applyAlignment="1" applyProtection="1">
      <alignment horizontal="center" vertical="center"/>
      <protection hidden="1"/>
    </xf>
    <xf numFmtId="0" fontId="23" fillId="20" borderId="0" xfId="0" applyFont="1" applyFill="1" applyAlignment="1" applyProtection="1">
      <alignment horizontal="center"/>
      <protection hidden="1"/>
    </xf>
    <xf numFmtId="0" fontId="9" fillId="5" borderId="1" xfId="0" applyFont="1" applyFill="1" applyBorder="1" applyProtection="1">
      <protection hidden="1"/>
    </xf>
    <xf numFmtId="0" fontId="9" fillId="6" borderId="1" xfId="0" applyFont="1" applyFill="1" applyBorder="1" applyProtection="1">
      <protection hidden="1"/>
    </xf>
    <xf numFmtId="169" fontId="32" fillId="0" borderId="0" xfId="0" applyNumberFormat="1" applyFont="1" applyProtection="1">
      <protection hidden="1"/>
    </xf>
    <xf numFmtId="3" fontId="54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0" fontId="4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59" fillId="0" borderId="0" xfId="0" applyFont="1" applyProtection="1">
      <protection hidden="1"/>
    </xf>
    <xf numFmtId="0" fontId="57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 wrapText="1"/>
      <protection locked="0" hidden="1"/>
    </xf>
    <xf numFmtId="0" fontId="30" fillId="12" borderId="13" xfId="0" applyFont="1" applyFill="1" applyBorder="1" applyAlignment="1" applyProtection="1">
      <alignment horizontal="center" vertical="center"/>
      <protection hidden="1"/>
    </xf>
    <xf numFmtId="0" fontId="30" fillId="12" borderId="14" xfId="0" applyFont="1" applyFill="1" applyBorder="1" applyAlignment="1" applyProtection="1">
      <alignment horizontal="center" vertical="center"/>
      <protection hidden="1"/>
    </xf>
    <xf numFmtId="0" fontId="30" fillId="12" borderId="15" xfId="0" applyFont="1" applyFill="1" applyBorder="1" applyAlignment="1" applyProtection="1">
      <alignment horizontal="center" vertical="center"/>
      <protection hidden="1"/>
    </xf>
    <xf numFmtId="0" fontId="36" fillId="12" borderId="13" xfId="0" applyFont="1" applyFill="1" applyBorder="1" applyAlignment="1" applyProtection="1">
      <alignment horizontal="center" vertical="center"/>
      <protection hidden="1"/>
    </xf>
    <xf numFmtId="0" fontId="36" fillId="12" borderId="14" xfId="0" applyFont="1" applyFill="1" applyBorder="1" applyAlignment="1" applyProtection="1">
      <alignment horizontal="center" vertical="center"/>
      <protection hidden="1"/>
    </xf>
    <xf numFmtId="0" fontId="36" fillId="12" borderId="15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7" fillId="2" borderId="16" xfId="0" applyFont="1" applyFill="1" applyBorder="1" applyAlignment="1" applyProtection="1">
      <alignment horizontal="center" vertical="center"/>
      <protection hidden="1"/>
    </xf>
    <xf numFmtId="0" fontId="37" fillId="2" borderId="17" xfId="0" applyFont="1" applyFill="1" applyBorder="1" applyAlignment="1" applyProtection="1">
      <alignment horizontal="center" vertical="center"/>
      <protection hidden="1"/>
    </xf>
    <xf numFmtId="0" fontId="37" fillId="2" borderId="18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42" fillId="13" borderId="82" xfId="0" applyFont="1" applyFill="1" applyBorder="1" applyAlignment="1" applyProtection="1">
      <alignment horizontal="left" vertical="center"/>
      <protection locked="0" hidden="1"/>
    </xf>
    <xf numFmtId="49" fontId="42" fillId="13" borderId="82" xfId="0" applyNumberFormat="1" applyFont="1" applyFill="1" applyBorder="1" applyAlignment="1" applyProtection="1">
      <alignment horizontal="left" vertical="center"/>
      <protection locked="0"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8" fillId="12" borderId="16" xfId="0" applyFont="1" applyFill="1" applyBorder="1" applyAlignment="1" applyProtection="1">
      <alignment horizontal="center" vertical="center"/>
      <protection hidden="1"/>
    </xf>
    <xf numFmtId="0" fontId="38" fillId="12" borderId="17" xfId="0" applyFont="1" applyFill="1" applyBorder="1" applyAlignment="1" applyProtection="1">
      <alignment horizontal="center" vertical="center"/>
      <protection hidden="1"/>
    </xf>
    <xf numFmtId="0" fontId="38" fillId="12" borderId="18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165" fontId="42" fillId="13" borderId="82" xfId="0" applyNumberFormat="1" applyFont="1" applyFill="1" applyBorder="1" applyAlignment="1" applyProtection="1">
      <alignment horizontal="center" vertical="center"/>
      <protection locked="0" hidden="1"/>
    </xf>
    <xf numFmtId="0" fontId="4" fillId="9" borderId="19" xfId="0" applyFont="1" applyFill="1" applyBorder="1" applyAlignment="1" applyProtection="1">
      <alignment horizontal="center" vertical="center"/>
      <protection locked="0"/>
    </xf>
    <xf numFmtId="0" fontId="4" fillId="9" borderId="20" xfId="0" applyFont="1" applyFill="1" applyBorder="1" applyAlignment="1" applyProtection="1">
      <alignment horizontal="center" vertical="center"/>
      <protection locked="0"/>
    </xf>
    <xf numFmtId="0" fontId="4" fillId="9" borderId="21" xfId="0" applyFont="1" applyFill="1" applyBorder="1" applyAlignment="1" applyProtection="1">
      <alignment horizontal="center" vertical="center"/>
      <protection locked="0"/>
    </xf>
    <xf numFmtId="170" fontId="29" fillId="0" borderId="0" xfId="0" applyNumberFormat="1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 vertical="top" wrapText="1"/>
      <protection hidden="1"/>
    </xf>
    <xf numFmtId="0" fontId="25" fillId="0" borderId="0" xfId="0" applyFont="1" applyAlignment="1" applyProtection="1">
      <alignment horizontal="left"/>
      <protection hidden="1"/>
    </xf>
    <xf numFmtId="0" fontId="58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39" fillId="2" borderId="16" xfId="0" applyFont="1" applyFill="1" applyBorder="1" applyAlignment="1" applyProtection="1">
      <alignment horizontal="center" vertical="center"/>
      <protection hidden="1"/>
    </xf>
    <xf numFmtId="0" fontId="39" fillId="2" borderId="17" xfId="0" applyFont="1" applyFill="1" applyBorder="1" applyAlignment="1" applyProtection="1">
      <alignment horizontal="center" vertical="center"/>
      <protection hidden="1"/>
    </xf>
    <xf numFmtId="0" fontId="39" fillId="2" borderId="18" xfId="0" applyFont="1" applyFill="1" applyBorder="1" applyAlignment="1" applyProtection="1">
      <alignment horizontal="center" vertical="center"/>
      <protection hidden="1"/>
    </xf>
    <xf numFmtId="0" fontId="60" fillId="0" borderId="0" xfId="1" applyFont="1" applyFill="1" applyAlignment="1">
      <alignment horizontal="center"/>
    </xf>
    <xf numFmtId="0" fontId="25" fillId="0" borderId="0" xfId="0" applyFont="1" applyAlignment="1" applyProtection="1">
      <alignment horizontal="center" vertical="top" wrapText="1"/>
      <protection hidden="1"/>
    </xf>
    <xf numFmtId="0" fontId="35" fillId="0" borderId="0" xfId="0" applyFont="1" applyAlignment="1" applyProtection="1">
      <alignment horizontal="center"/>
      <protection hidden="1"/>
    </xf>
    <xf numFmtId="0" fontId="57" fillId="0" borderId="0" xfId="0" applyFont="1" applyAlignment="1" applyProtection="1">
      <alignment horizontal="center"/>
      <protection hidden="1"/>
    </xf>
    <xf numFmtId="0" fontId="0" fillId="19" borderId="0" xfId="0" applyFill="1" applyAlignment="1" applyProtection="1">
      <alignment horizontal="center" vertical="top" textRotation="90"/>
      <protection hidden="1"/>
    </xf>
    <xf numFmtId="0" fontId="9" fillId="0" borderId="76" xfId="0" applyFont="1" applyBorder="1" applyAlignment="1" applyProtection="1">
      <alignment horizontal="center" vertical="top"/>
      <protection locked="0" hidden="1"/>
    </xf>
    <xf numFmtId="49" fontId="7" fillId="13" borderId="0" xfId="0" applyNumberFormat="1" applyFont="1" applyFill="1" applyAlignment="1" applyProtection="1">
      <alignment horizontal="left" vertical="center"/>
      <protection locked="0" hidden="1"/>
    </xf>
    <xf numFmtId="0" fontId="36" fillId="12" borderId="79" xfId="0" applyFont="1" applyFill="1" applyBorder="1" applyAlignment="1" applyProtection="1">
      <alignment horizontal="center" vertical="center"/>
      <protection hidden="1"/>
    </xf>
    <xf numFmtId="0" fontId="36" fillId="12" borderId="80" xfId="0" applyFont="1" applyFill="1" applyBorder="1" applyAlignment="1" applyProtection="1">
      <alignment horizontal="center" vertical="center"/>
      <protection hidden="1"/>
    </xf>
    <xf numFmtId="4" fontId="7" fillId="0" borderId="76" xfId="0" applyNumberFormat="1" applyFont="1" applyBorder="1" applyAlignment="1" applyProtection="1">
      <alignment horizontal="right"/>
      <protection hidden="1"/>
    </xf>
  </cellXfs>
  <cellStyles count="7">
    <cellStyle name="Hypertextový odkaz" xfId="1" builtinId="8"/>
    <cellStyle name="Hypertextový odkaz 2" xfId="2" xr:uid="{710E2ED0-4F71-4290-AEBF-180082C9BE87}"/>
    <cellStyle name="Měna" xfId="5" builtinId="4"/>
    <cellStyle name="Normální" xfId="0" builtinId="0"/>
    <cellStyle name="normální 2 2" xfId="3" xr:uid="{5FD51AF1-48D3-4BE9-84D2-64B9C45AF7ED}"/>
    <cellStyle name="Normální 5" xfId="4" xr:uid="{4BC60D1D-9B72-4221-9FBB-E754B095862D}"/>
    <cellStyle name="Normální 5 2" xfId="6" xr:uid="{912D7EDD-6DC7-4016-B09D-1A2A77933B99}"/>
  </cellStyles>
  <dxfs count="3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DE5B41"/>
        </patternFill>
      </fill>
    </dxf>
    <dxf>
      <font>
        <b/>
        <i val="0"/>
      </font>
    </dxf>
    <dxf>
      <font>
        <color rgb="FF00B050"/>
      </font>
    </dxf>
    <dxf>
      <fill>
        <patternFill>
          <bgColor rgb="FFDE5B4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</dxf>
    <dxf>
      <font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DE5B41"/>
        </patternFill>
      </fill>
    </dxf>
    <dxf>
      <font>
        <b/>
        <i val="0"/>
      </font>
    </dxf>
    <dxf>
      <font>
        <color rgb="FF00B050"/>
      </font>
    </dxf>
    <dxf>
      <fill>
        <patternFill>
          <bgColor rgb="FFDE5B41"/>
        </patternFill>
      </fill>
    </dxf>
    <dxf>
      <font>
        <b/>
        <i val="0"/>
      </font>
    </dxf>
    <dxf>
      <font>
        <color rgb="FF00B050"/>
      </font>
    </dxf>
    <dxf>
      <fill>
        <patternFill>
          <bgColor rgb="FFDE5B41"/>
        </patternFill>
      </fill>
    </dxf>
    <dxf>
      <fill>
        <patternFill>
          <bgColor rgb="FFDE5B41"/>
        </patternFill>
      </fill>
    </dxf>
    <dxf>
      <fill>
        <patternFill>
          <bgColor rgb="FFDE5B41"/>
        </patternFill>
      </fill>
    </dxf>
    <dxf>
      <fill>
        <patternFill>
          <bgColor rgb="FFDE5B41"/>
        </patternFill>
      </fill>
    </dxf>
    <dxf>
      <font>
        <b/>
        <i val="0"/>
      </font>
    </dxf>
    <dxf>
      <font>
        <color rgb="FF00B050"/>
      </font>
    </dxf>
    <dxf>
      <fill>
        <patternFill>
          <bgColor rgb="FFDE5B41"/>
        </patternFill>
      </fill>
    </dxf>
    <dxf>
      <fill>
        <patternFill>
          <bgColor rgb="FFDE5B41"/>
        </patternFill>
      </fill>
    </dxf>
    <dxf>
      <font>
        <b/>
        <i val="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'DATA-WL1'!A5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289560</xdr:colOff>
      <xdr:row>4</xdr:row>
      <xdr:rowOff>91440</xdr:rowOff>
    </xdr:from>
    <xdr:to>
      <xdr:col>49</xdr:col>
      <xdr:colOff>167640</xdr:colOff>
      <xdr:row>14</xdr:row>
      <xdr:rowOff>167640</xdr:rowOff>
    </xdr:to>
    <xdr:pic>
      <xdr:nvPicPr>
        <xdr:cNvPr id="867787" name="Picture 24">
          <a:extLst>
            <a:ext uri="{FF2B5EF4-FFF2-40B4-BE49-F238E27FC236}">
              <a16:creationId xmlns:a16="http://schemas.microsoft.com/office/drawing/2014/main" id="{AEFB3E70-69E5-17E8-9620-AE0E0CF8C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990600"/>
          <a:ext cx="234696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16042</xdr:colOff>
      <xdr:row>25</xdr:row>
      <xdr:rowOff>143803</xdr:rowOff>
    </xdr:from>
    <xdr:to>
      <xdr:col>6</xdr:col>
      <xdr:colOff>192505</xdr:colOff>
      <xdr:row>31</xdr:row>
      <xdr:rowOff>66999</xdr:rowOff>
    </xdr:to>
    <xdr:pic>
      <xdr:nvPicPr>
        <xdr:cNvPr id="867788" name="Picture 24">
          <a:extLst>
            <a:ext uri="{FF2B5EF4-FFF2-40B4-BE49-F238E27FC236}">
              <a16:creationId xmlns:a16="http://schemas.microsoft.com/office/drawing/2014/main" id="{2DF6CDD6-371D-77B0-10EB-582E68BF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95" y="4916329"/>
          <a:ext cx="1259305" cy="1030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156615</xdr:colOff>
      <xdr:row>7</xdr:row>
      <xdr:rowOff>1431</xdr:rowOff>
    </xdr:to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7A72297A-DC04-F33C-7B87-17E93A3BB259}"/>
            </a:ext>
          </a:extLst>
        </xdr:cNvPr>
        <xdr:cNvSpPr txBox="1">
          <a:spLocks noChangeAspect="1"/>
        </xdr:cNvSpPr>
      </xdr:nvSpPr>
      <xdr:spPr>
        <a:xfrm>
          <a:off x="4580021" y="1451811"/>
          <a:ext cx="160147" cy="18190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12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?</a:t>
          </a:r>
        </a:p>
      </xdr:txBody>
    </xdr:sp>
    <xdr:clientData/>
  </xdr:twoCellAnchor>
  <xdr:twoCellAnchor>
    <xdr:from>
      <xdr:col>21</xdr:col>
      <xdr:colOff>1</xdr:colOff>
      <xdr:row>20</xdr:row>
      <xdr:rowOff>4007</xdr:rowOff>
    </xdr:from>
    <xdr:to>
      <xdr:col>21</xdr:col>
      <xdr:colOff>159263</xdr:colOff>
      <xdr:row>20</xdr:row>
      <xdr:rowOff>179997</xdr:rowOff>
    </xdr:to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F58299EE-5895-2216-39BA-D22C8EA38C55}"/>
            </a:ext>
          </a:extLst>
        </xdr:cNvPr>
        <xdr:cNvSpPr txBox="1">
          <a:spLocks noChangeAspect="1"/>
        </xdr:cNvSpPr>
      </xdr:nvSpPr>
      <xdr:spPr>
        <a:xfrm>
          <a:off x="4580022" y="3850102"/>
          <a:ext cx="162855" cy="1800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12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163447</xdr:colOff>
      <xdr:row>8</xdr:row>
      <xdr:rowOff>11789</xdr:rowOff>
    </xdr:from>
    <xdr:to>
      <xdr:col>43</xdr:col>
      <xdr:colOff>56147</xdr:colOff>
      <xdr:row>12</xdr:row>
      <xdr:rowOff>178372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290F4-B2F4-7A6E-B0BF-3D280764B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1994" y="1648084"/>
          <a:ext cx="1408679" cy="90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76200</xdr:rowOff>
    </xdr:from>
    <xdr:to>
      <xdr:col>13</xdr:col>
      <xdr:colOff>45720</xdr:colOff>
      <xdr:row>36</xdr:row>
      <xdr:rowOff>76200</xdr:rowOff>
    </xdr:to>
    <xdr:pic>
      <xdr:nvPicPr>
        <xdr:cNvPr id="907654" name="Picture 24">
          <a:extLst>
            <a:ext uri="{FF2B5EF4-FFF2-40B4-BE49-F238E27FC236}">
              <a16:creationId xmlns:a16="http://schemas.microsoft.com/office/drawing/2014/main" id="{EC8C72C9-3D16-1691-16D3-CC75CB92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"/>
          <a:ext cx="2857500" cy="2354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289560</xdr:colOff>
      <xdr:row>4</xdr:row>
      <xdr:rowOff>91440</xdr:rowOff>
    </xdr:from>
    <xdr:to>
      <xdr:col>49</xdr:col>
      <xdr:colOff>167640</xdr:colOff>
      <xdr:row>14</xdr:row>
      <xdr:rowOff>167640</xdr:rowOff>
    </xdr:to>
    <xdr:pic>
      <xdr:nvPicPr>
        <xdr:cNvPr id="907661" name="Picture 24">
          <a:extLst>
            <a:ext uri="{FF2B5EF4-FFF2-40B4-BE49-F238E27FC236}">
              <a16:creationId xmlns:a16="http://schemas.microsoft.com/office/drawing/2014/main" id="{3B3F7665-074D-D9BB-0387-93F023F2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990600"/>
          <a:ext cx="234696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281940</xdr:colOff>
          <xdr:row>18</xdr:row>
          <xdr:rowOff>167640</xdr:rowOff>
        </xdr:from>
        <xdr:to>
          <xdr:col>48</xdr:col>
          <xdr:colOff>327660</xdr:colOff>
          <xdr:row>21</xdr:row>
          <xdr:rowOff>30480</xdr:rowOff>
        </xdr:to>
        <xdr:sp macro="" textlink="">
          <xdr:nvSpPr>
            <xdr:cNvPr id="691217" name="Button 3089" hidden="1">
              <a:extLst>
                <a:ext uri="{63B3BB69-23CF-44E3-9099-C40C66FF867C}">
                  <a14:compatExt spid="_x0000_s691217"/>
                </a:ext>
                <a:ext uri="{FF2B5EF4-FFF2-40B4-BE49-F238E27FC236}">
                  <a16:creationId xmlns:a16="http://schemas.microsoft.com/office/drawing/2014/main" id="{00000000-0008-0000-0100-000011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sk-SK" sz="1400" b="1" i="0" u="none" strike="noStrike" baseline="0">
                  <a:solidFill>
                    <a:srgbClr val="FF0000"/>
                  </a:solidFill>
                  <a:latin typeface="Verdana"/>
                  <a:ea typeface="Verdana"/>
                </a:rPr>
                <a:t>RESET</a:t>
              </a:r>
            </a:p>
          </xdr:txBody>
        </xdr:sp>
        <xdr:clientData/>
      </xdr:twoCellAnchor>
    </mc:Choice>
    <mc:Fallback/>
  </mc:AlternateContent>
  <xdr:twoCellAnchor editAs="oneCell">
    <xdr:from>
      <xdr:col>21</xdr:col>
      <xdr:colOff>32082</xdr:colOff>
      <xdr:row>8</xdr:row>
      <xdr:rowOff>32084</xdr:rowOff>
    </xdr:from>
    <xdr:to>
      <xdr:col>26</xdr:col>
      <xdr:colOff>216003</xdr:colOff>
      <xdr:row>12</xdr:row>
      <xdr:rowOff>165526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231B832-1D1D-63BE-211B-3B94B007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12103" y="1668379"/>
          <a:ext cx="1266763" cy="871379"/>
        </a:xfrm>
        <a:prstGeom prst="rect">
          <a:avLst/>
        </a:prstGeom>
      </xdr:spPr>
    </xdr:pic>
    <xdr:clientData/>
  </xdr:twoCellAnchor>
  <xdr:twoCellAnchor editAs="oneCell">
    <xdr:from>
      <xdr:col>28</xdr:col>
      <xdr:colOff>184483</xdr:colOff>
      <xdr:row>8</xdr:row>
      <xdr:rowOff>24063</xdr:rowOff>
    </xdr:from>
    <xdr:to>
      <xdr:col>35</xdr:col>
      <xdr:colOff>26530</xdr:colOff>
      <xdr:row>12</xdr:row>
      <xdr:rowOff>179769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10C90D1-1884-6FA3-ACF1-37EF135E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0483" y="1660358"/>
          <a:ext cx="1358026" cy="893643"/>
        </a:xfrm>
        <a:prstGeom prst="rect">
          <a:avLst/>
        </a:prstGeom>
      </xdr:spPr>
    </xdr:pic>
    <xdr:clientData/>
  </xdr:twoCellAnchor>
  <xdr:twoCellAnchor>
    <xdr:from>
      <xdr:col>19</xdr:col>
      <xdr:colOff>152400</xdr:colOff>
      <xdr:row>7</xdr:row>
      <xdr:rowOff>56147</xdr:rowOff>
    </xdr:from>
    <xdr:to>
      <xdr:col>36</xdr:col>
      <xdr:colOff>16042</xdr:colOff>
      <xdr:row>16</xdr:row>
      <xdr:rowOff>72190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EF19C51A-892D-39E8-EE00-A01EA4D6BE09}"/>
            </a:ext>
          </a:extLst>
        </xdr:cNvPr>
        <xdr:cNvSpPr/>
      </xdr:nvSpPr>
      <xdr:spPr bwMode="auto">
        <a:xfrm>
          <a:off x="4299284" y="1507958"/>
          <a:ext cx="3545305" cy="1676400"/>
        </a:xfrm>
        <a:prstGeom prst="rect">
          <a:avLst/>
        </a:prstGeom>
        <a:solidFill>
          <a:schemeClr val="bg1">
            <a:alpha val="82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sk-SK" sz="1100"/>
        </a:p>
      </xdr:txBody>
    </xdr:sp>
    <xdr:clientData/>
  </xdr:twoCellAnchor>
  <xdr:twoCellAnchor editAs="oneCell">
    <xdr:from>
      <xdr:col>0</xdr:col>
      <xdr:colOff>24062</xdr:colOff>
      <xdr:row>4</xdr:row>
      <xdr:rowOff>128337</xdr:rowOff>
    </xdr:from>
    <xdr:to>
      <xdr:col>17</xdr:col>
      <xdr:colOff>168442</xdr:colOff>
      <xdr:row>18</xdr:row>
      <xdr:rowOff>22881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6BA30A2-0F5E-453A-9645-A19E7F78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62" y="1026695"/>
          <a:ext cx="3858127" cy="2477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8022</xdr:colOff>
      <xdr:row>4</xdr:row>
      <xdr:rowOff>152400</xdr:rowOff>
    </xdr:from>
    <xdr:to>
      <xdr:col>40</xdr:col>
      <xdr:colOff>41570</xdr:colOff>
      <xdr:row>13</xdr:row>
      <xdr:rowOff>72189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059525A-2542-1FC5-0E8C-A1833E9E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0590" y="1050758"/>
          <a:ext cx="2415801" cy="1580147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36</xdr:col>
      <xdr:colOff>64972</xdr:colOff>
      <xdr:row>8</xdr:row>
      <xdr:rowOff>122722</xdr:rowOff>
    </xdr:from>
    <xdr:to>
      <xdr:col>45</xdr:col>
      <xdr:colOff>512782</xdr:colOff>
      <xdr:row>17</xdr:row>
      <xdr:rowOff>20053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EDA3A39-896F-4A4D-631B-C47C9033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4032" y="1753402"/>
          <a:ext cx="2406150" cy="1543251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>
    <xdr:from>
      <xdr:col>6</xdr:col>
      <xdr:colOff>39303</xdr:colOff>
      <xdr:row>18</xdr:row>
      <xdr:rowOff>56147</xdr:rowOff>
    </xdr:from>
    <xdr:to>
      <xdr:col>11</xdr:col>
      <xdr:colOff>30480</xdr:colOff>
      <xdr:row>23</xdr:row>
      <xdr:rowOff>168442</xdr:rowOff>
    </xdr:to>
    <xdr:grpSp>
      <xdr:nvGrpSpPr>
        <xdr:cNvPr id="10" name="Skupina 9">
          <a:extLst>
            <a:ext uri="{FF2B5EF4-FFF2-40B4-BE49-F238E27FC236}">
              <a16:creationId xmlns:a16="http://schemas.microsoft.com/office/drawing/2014/main" id="{96FBDB90-AC74-5C70-1320-30C8B51631EE}"/>
            </a:ext>
          </a:extLst>
        </xdr:cNvPr>
        <xdr:cNvGrpSpPr/>
      </xdr:nvGrpSpPr>
      <xdr:grpSpPr>
        <a:xfrm>
          <a:off x="1506153" y="3485147"/>
          <a:ext cx="1181802" cy="1017170"/>
          <a:chOff x="705852" y="3537284"/>
          <a:chExt cx="1074020" cy="1219200"/>
        </a:xfrm>
      </xdr:grpSpPr>
      <xdr:cxnSp macro="">
        <xdr:nvCxnSpPr>
          <xdr:cNvPr id="947668" name="Přímá spojnice 122">
            <a:extLst>
              <a:ext uri="{FF2B5EF4-FFF2-40B4-BE49-F238E27FC236}">
                <a16:creationId xmlns:a16="http://schemas.microsoft.com/office/drawing/2014/main" id="{63E448A7-3807-4691-1165-7BB8EC0E4314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712083" y="3561893"/>
            <a:ext cx="0" cy="1154486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 type="triangl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47669" name="Přímá spojnice 129">
            <a:extLst>
              <a:ext uri="{FF2B5EF4-FFF2-40B4-BE49-F238E27FC236}">
                <a16:creationId xmlns:a16="http://schemas.microsoft.com/office/drawing/2014/main" id="{9BFADCB8-147B-93D8-37DF-67B1414768B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533245" y="3562260"/>
            <a:ext cx="231098" cy="0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47670" name="Přímá spojnice 129">
            <a:extLst>
              <a:ext uri="{FF2B5EF4-FFF2-40B4-BE49-F238E27FC236}">
                <a16:creationId xmlns:a16="http://schemas.microsoft.com/office/drawing/2014/main" id="{C9678E07-35AD-4DBA-D3CC-29D76308D11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548774" y="4724924"/>
            <a:ext cx="231098" cy="0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Krychle 3">
            <a:extLst>
              <a:ext uri="{FF2B5EF4-FFF2-40B4-BE49-F238E27FC236}">
                <a16:creationId xmlns:a16="http://schemas.microsoft.com/office/drawing/2014/main" id="{A08ACBC5-D385-C11D-23D3-21D9AD7BD9AE}"/>
              </a:ext>
            </a:extLst>
          </xdr:cNvPr>
          <xdr:cNvSpPr/>
        </xdr:nvSpPr>
        <xdr:spPr bwMode="auto">
          <a:xfrm>
            <a:off x="705852" y="3537284"/>
            <a:ext cx="665748" cy="1219200"/>
          </a:xfrm>
          <a:prstGeom prst="cube">
            <a:avLst>
              <a:gd name="adj" fmla="val 4518"/>
            </a:avLst>
          </a:prstGeom>
          <a:solidFill>
            <a:schemeClr val="bg1">
              <a:lumMod val="85000"/>
            </a:schemeClr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</xdr:grpSp>
    <xdr:clientData/>
  </xdr:twoCellAnchor>
  <xdr:twoCellAnchor editAs="oneCell">
    <xdr:from>
      <xdr:col>3</xdr:col>
      <xdr:colOff>64168</xdr:colOff>
      <xdr:row>6</xdr:row>
      <xdr:rowOff>32085</xdr:rowOff>
    </xdr:from>
    <xdr:to>
      <xdr:col>7</xdr:col>
      <xdr:colOff>194372</xdr:colOff>
      <xdr:row>13</xdr:row>
      <xdr:rowOff>177477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6499E8-4C41-4266-B8D6-23B988847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957" y="1299411"/>
          <a:ext cx="996478" cy="1436782"/>
        </a:xfrm>
        <a:prstGeom prst="rect">
          <a:avLst/>
        </a:prstGeom>
      </xdr:spPr>
    </xdr:pic>
    <xdr:clientData/>
  </xdr:twoCellAnchor>
  <xdr:twoCellAnchor editAs="oneCell">
    <xdr:from>
      <xdr:col>23</xdr:col>
      <xdr:colOff>66174</xdr:colOff>
      <xdr:row>36</xdr:row>
      <xdr:rowOff>719</xdr:rowOff>
    </xdr:from>
    <xdr:to>
      <xdr:col>31</xdr:col>
      <xdr:colOff>146385</xdr:colOff>
      <xdr:row>40</xdr:row>
      <xdr:rowOff>80025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51C767A-3485-81E7-5E52-C6799215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1554" y="6218639"/>
          <a:ext cx="1787091" cy="810826"/>
        </a:xfrm>
        <a:prstGeom prst="rect">
          <a:avLst/>
        </a:prstGeom>
      </xdr:spPr>
    </xdr:pic>
    <xdr:clientData/>
  </xdr:twoCellAnchor>
  <xdr:twoCellAnchor editAs="oneCell">
    <xdr:from>
      <xdr:col>17</xdr:col>
      <xdr:colOff>109382</xdr:colOff>
      <xdr:row>36</xdr:row>
      <xdr:rowOff>28074</xdr:rowOff>
    </xdr:from>
    <xdr:to>
      <xdr:col>21</xdr:col>
      <xdr:colOff>93740</xdr:colOff>
      <xdr:row>40</xdr:row>
      <xdr:rowOff>100264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84452F-4148-C695-516B-D9703108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3774602" y="6245994"/>
          <a:ext cx="837798" cy="803710"/>
        </a:xfrm>
        <a:prstGeom prst="rect">
          <a:avLst/>
        </a:prstGeom>
      </xdr:spPr>
    </xdr:pic>
    <xdr:clientData/>
  </xdr:twoCellAnchor>
  <xdr:twoCellAnchor editAs="oneCell">
    <xdr:from>
      <xdr:col>33</xdr:col>
      <xdr:colOff>102565</xdr:colOff>
      <xdr:row>36</xdr:row>
      <xdr:rowOff>27674</xdr:rowOff>
    </xdr:from>
    <xdr:to>
      <xdr:col>37</xdr:col>
      <xdr:colOff>86923</xdr:colOff>
      <xdr:row>40</xdr:row>
      <xdr:rowOff>99864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D4CC23F-6288-4E64-97BC-EAFBB85D8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81545" y="6245594"/>
          <a:ext cx="837798" cy="803710"/>
        </a:xfrm>
        <a:prstGeom prst="rect">
          <a:avLst/>
        </a:prstGeom>
      </xdr:spPr>
    </xdr:pic>
    <xdr:clientData/>
  </xdr:twoCellAnchor>
  <xdr:twoCellAnchor>
    <xdr:from>
      <xdr:col>12</xdr:col>
      <xdr:colOff>207758</xdr:colOff>
      <xdr:row>18</xdr:row>
      <xdr:rowOff>61361</xdr:rowOff>
    </xdr:from>
    <xdr:to>
      <xdr:col>16</xdr:col>
      <xdr:colOff>16043</xdr:colOff>
      <xdr:row>25</xdr:row>
      <xdr:rowOff>60960</xdr:rowOff>
    </xdr:to>
    <xdr:grpSp>
      <xdr:nvGrpSpPr>
        <xdr:cNvPr id="17" name="Skupina 16">
          <a:extLst>
            <a:ext uri="{FF2B5EF4-FFF2-40B4-BE49-F238E27FC236}">
              <a16:creationId xmlns:a16="http://schemas.microsoft.com/office/drawing/2014/main" id="{3DB6DADC-42DD-A583-1ECC-204648C602A9}"/>
            </a:ext>
          </a:extLst>
        </xdr:cNvPr>
        <xdr:cNvGrpSpPr/>
      </xdr:nvGrpSpPr>
      <xdr:grpSpPr>
        <a:xfrm>
          <a:off x="3103358" y="3490361"/>
          <a:ext cx="760785" cy="1266424"/>
          <a:chOff x="3055232" y="3457074"/>
          <a:chExt cx="674558" cy="1475472"/>
        </a:xfrm>
      </xdr:grpSpPr>
      <xdr:grpSp>
        <xdr:nvGrpSpPr>
          <xdr:cNvPr id="947631" name="Skupina 8">
            <a:extLst>
              <a:ext uri="{FF2B5EF4-FFF2-40B4-BE49-F238E27FC236}">
                <a16:creationId xmlns:a16="http://schemas.microsoft.com/office/drawing/2014/main" id="{0B87EFF3-D425-B67C-7D3A-9DDA315D2400}"/>
              </a:ext>
            </a:extLst>
          </xdr:cNvPr>
          <xdr:cNvGrpSpPr>
            <a:grpSpLocks/>
          </xdr:cNvGrpSpPr>
        </xdr:nvGrpSpPr>
        <xdr:grpSpPr bwMode="auto">
          <a:xfrm>
            <a:off x="3055232" y="4740442"/>
            <a:ext cx="665295" cy="192104"/>
            <a:chOff x="3015666" y="3976440"/>
            <a:chExt cx="658447" cy="190800"/>
          </a:xfrm>
        </xdr:grpSpPr>
        <xdr:cxnSp macro="">
          <xdr:nvCxnSpPr>
            <xdr:cNvPr id="947664" name="Přímá spojnice 122">
              <a:extLst>
                <a:ext uri="{FF2B5EF4-FFF2-40B4-BE49-F238E27FC236}">
                  <a16:creationId xmlns:a16="http://schemas.microsoft.com/office/drawing/2014/main" id="{556B372C-5523-20C6-A806-7001386A6CEF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3024384" y="4095750"/>
              <a:ext cx="649729" cy="190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47665" name="Přímá spojnice 129">
              <a:extLst>
                <a:ext uri="{FF2B5EF4-FFF2-40B4-BE49-F238E27FC236}">
                  <a16:creationId xmlns:a16="http://schemas.microsoft.com/office/drawing/2014/main" id="{FCB9158D-555E-916C-30EE-7A2BC9B2740A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>
              <a:off x="3577176" y="4071840"/>
              <a:ext cx="190800" cy="0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47666" name="Přímá spojnice 129">
              <a:extLst>
                <a:ext uri="{FF2B5EF4-FFF2-40B4-BE49-F238E27FC236}">
                  <a16:creationId xmlns:a16="http://schemas.microsoft.com/office/drawing/2014/main" id="{2856B104-4F3D-A336-4B1A-F8D8EBB038A1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>
              <a:off x="2920266" y="4071840"/>
              <a:ext cx="190800" cy="0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15" name="Krychle 14">
            <a:extLst>
              <a:ext uri="{FF2B5EF4-FFF2-40B4-BE49-F238E27FC236}">
                <a16:creationId xmlns:a16="http://schemas.microsoft.com/office/drawing/2014/main" id="{10A98E27-18D8-CB61-B40D-8135885DA7F4}"/>
              </a:ext>
            </a:extLst>
          </xdr:cNvPr>
          <xdr:cNvSpPr/>
        </xdr:nvSpPr>
        <xdr:spPr bwMode="auto">
          <a:xfrm>
            <a:off x="3064042" y="3457074"/>
            <a:ext cx="665748" cy="1219200"/>
          </a:xfrm>
          <a:prstGeom prst="cube">
            <a:avLst>
              <a:gd name="adj" fmla="val 4518"/>
            </a:avLst>
          </a:prstGeom>
          <a:solidFill>
            <a:schemeClr val="bg1">
              <a:lumMod val="85000"/>
            </a:schemeClr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</xdr:grpSp>
    <xdr:clientData/>
  </xdr:twoCellAnchor>
  <xdr:twoCellAnchor>
    <xdr:from>
      <xdr:col>19</xdr:col>
      <xdr:colOff>122721</xdr:colOff>
      <xdr:row>18</xdr:row>
      <xdr:rowOff>59356</xdr:rowOff>
    </xdr:from>
    <xdr:to>
      <xdr:col>23</xdr:col>
      <xdr:colOff>131261</xdr:colOff>
      <xdr:row>25</xdr:row>
      <xdr:rowOff>146500</xdr:rowOff>
    </xdr:to>
    <xdr:grpSp>
      <xdr:nvGrpSpPr>
        <xdr:cNvPr id="30" name="Skupina 29">
          <a:extLst>
            <a:ext uri="{FF2B5EF4-FFF2-40B4-BE49-F238E27FC236}">
              <a16:creationId xmlns:a16="http://schemas.microsoft.com/office/drawing/2014/main" id="{27DE0846-EC7D-3D26-9D8A-5092A4C1DD1B}"/>
            </a:ext>
          </a:extLst>
        </xdr:cNvPr>
        <xdr:cNvGrpSpPr/>
      </xdr:nvGrpSpPr>
      <xdr:grpSpPr>
        <a:xfrm>
          <a:off x="4685196" y="3488356"/>
          <a:ext cx="961040" cy="1353969"/>
          <a:chOff x="5388141" y="3396916"/>
          <a:chExt cx="861980" cy="1550184"/>
        </a:xfrm>
      </xdr:grpSpPr>
      <xdr:sp macro="" textlink="">
        <xdr:nvSpPr>
          <xdr:cNvPr id="20" name="Krychle 19">
            <a:extLst>
              <a:ext uri="{FF2B5EF4-FFF2-40B4-BE49-F238E27FC236}">
                <a16:creationId xmlns:a16="http://schemas.microsoft.com/office/drawing/2014/main" id="{AF3C665A-D3B7-5241-8DB1-5EC4F281D2E9}"/>
              </a:ext>
            </a:extLst>
          </xdr:cNvPr>
          <xdr:cNvSpPr/>
        </xdr:nvSpPr>
        <xdr:spPr bwMode="auto">
          <a:xfrm>
            <a:off x="5388141" y="3396916"/>
            <a:ext cx="656123" cy="1207971"/>
          </a:xfrm>
          <a:prstGeom prst="cube">
            <a:avLst>
              <a:gd name="adj" fmla="val 4518"/>
            </a:avLst>
          </a:prstGeom>
          <a:solidFill>
            <a:schemeClr val="bg1">
              <a:lumMod val="85000"/>
            </a:schemeClr>
          </a:solidFill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  <xdr:grpSp>
        <xdr:nvGrpSpPr>
          <xdr:cNvPr id="29" name="Skupina 28">
            <a:extLst>
              <a:ext uri="{FF2B5EF4-FFF2-40B4-BE49-F238E27FC236}">
                <a16:creationId xmlns:a16="http://schemas.microsoft.com/office/drawing/2014/main" id="{C181B6A3-E268-AD36-277B-970B92070918}"/>
              </a:ext>
            </a:extLst>
          </xdr:cNvPr>
          <xdr:cNvGrpSpPr/>
        </xdr:nvGrpSpPr>
        <xdr:grpSpPr>
          <a:xfrm>
            <a:off x="5830775" y="4531197"/>
            <a:ext cx="419346" cy="415903"/>
            <a:chOff x="5842820" y="4513007"/>
            <a:chExt cx="420329" cy="412954"/>
          </a:xfrm>
        </xdr:grpSpPr>
        <xdr:cxnSp macro="">
          <xdr:nvCxnSpPr>
            <xdr:cNvPr id="21" name="Přímá spojnice 122">
              <a:extLst>
                <a:ext uri="{FF2B5EF4-FFF2-40B4-BE49-F238E27FC236}">
                  <a16:creationId xmlns:a16="http://schemas.microsoft.com/office/drawing/2014/main" id="{2C3F55E1-7CE7-DA0C-BE14-55EE4F7383C4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6078794" y="4513007"/>
              <a:ext cx="184355" cy="181897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 type="non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2" name="Přímá spojnice 129">
              <a:extLst>
                <a:ext uri="{FF2B5EF4-FFF2-40B4-BE49-F238E27FC236}">
                  <a16:creationId xmlns:a16="http://schemas.microsoft.com/office/drawing/2014/main" id="{8AF7358A-D160-194E-3837-6698EBC6C27F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>
              <a:off x="5975806" y="4695479"/>
              <a:ext cx="189517" cy="0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3" name="Přímá spojnice 129">
              <a:extLst>
                <a:ext uri="{FF2B5EF4-FFF2-40B4-BE49-F238E27FC236}">
                  <a16:creationId xmlns:a16="http://schemas.microsoft.com/office/drawing/2014/main" id="{AF7593E9-147A-36DB-40B2-9F3D5EBAD71A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>
              <a:off x="5932273" y="4747099"/>
              <a:ext cx="189517" cy="0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7" name="Přímá spojnice 122">
              <a:extLst>
                <a:ext uri="{FF2B5EF4-FFF2-40B4-BE49-F238E27FC236}">
                  <a16:creationId xmlns:a16="http://schemas.microsoft.com/office/drawing/2014/main" id="{E9FB2B29-8644-473B-9114-502A7991FC56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5842820" y="4744064"/>
              <a:ext cx="184355" cy="181897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 type="triangl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8" name="Přímá spojnice 122">
              <a:extLst>
                <a:ext uri="{FF2B5EF4-FFF2-40B4-BE49-F238E27FC236}">
                  <a16:creationId xmlns:a16="http://schemas.microsoft.com/office/drawing/2014/main" id="{6648300B-D464-4891-ACF1-F68AF9692FD4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5948517" y="4640826"/>
              <a:ext cx="184355" cy="181897"/>
            </a:xfrm>
            <a:prstGeom prst="line">
              <a:avLst/>
            </a:prstGeom>
            <a:noFill/>
            <a:ln w="0" algn="ctr">
              <a:solidFill>
                <a:srgbClr val="558ED5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8022</xdr:colOff>
      <xdr:row>4</xdr:row>
      <xdr:rowOff>152400</xdr:rowOff>
    </xdr:from>
    <xdr:to>
      <xdr:col>40</xdr:col>
      <xdr:colOff>41570</xdr:colOff>
      <xdr:row>13</xdr:row>
      <xdr:rowOff>72189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859D15A-0C3F-4224-BE7A-586883B9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562" y="1051560"/>
          <a:ext cx="2380508" cy="1565709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36</xdr:col>
      <xdr:colOff>64972</xdr:colOff>
      <xdr:row>8</xdr:row>
      <xdr:rowOff>122722</xdr:rowOff>
    </xdr:from>
    <xdr:to>
      <xdr:col>45</xdr:col>
      <xdr:colOff>512782</xdr:colOff>
      <xdr:row>17</xdr:row>
      <xdr:rowOff>20053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021C4C4-B88A-4B2E-920C-0958FA3CD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4032" y="1753402"/>
          <a:ext cx="2406150" cy="1543251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22</xdr:row>
      <xdr:rowOff>38100</xdr:rowOff>
    </xdr:from>
    <xdr:to>
      <xdr:col>9</xdr:col>
      <xdr:colOff>63979</xdr:colOff>
      <xdr:row>32</xdr:row>
      <xdr:rowOff>37379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26AD5929-3B28-8F26-15D6-3CDCD6D3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8680" y="4411980"/>
          <a:ext cx="1153639" cy="1660439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22</xdr:row>
      <xdr:rowOff>68581</xdr:rowOff>
    </xdr:from>
    <xdr:to>
      <xdr:col>19</xdr:col>
      <xdr:colOff>154460</xdr:colOff>
      <xdr:row>32</xdr:row>
      <xdr:rowOff>7844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DF294558-C38C-75B7-48AD-642CA0BD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9440" y="4442461"/>
          <a:ext cx="1106960" cy="1600423"/>
        </a:xfrm>
        <a:prstGeom prst="rect">
          <a:avLst/>
        </a:prstGeom>
      </xdr:spPr>
    </xdr:pic>
    <xdr:clientData/>
  </xdr:twoCellAnchor>
  <xdr:twoCellAnchor editAs="oneCell">
    <xdr:from>
      <xdr:col>23</xdr:col>
      <xdr:colOff>91441</xdr:colOff>
      <xdr:row>22</xdr:row>
      <xdr:rowOff>38100</xdr:rowOff>
    </xdr:from>
    <xdr:to>
      <xdr:col>31</xdr:col>
      <xdr:colOff>98348</xdr:colOff>
      <xdr:row>32</xdr:row>
      <xdr:rowOff>37379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BDEE17FA-5E67-73CD-D0DC-F72CBF23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36821" y="4411980"/>
          <a:ext cx="1713787" cy="1660439"/>
        </a:xfrm>
        <a:prstGeom prst="rect">
          <a:avLst/>
        </a:prstGeom>
      </xdr:spPr>
    </xdr:pic>
    <xdr:clientData/>
  </xdr:twoCellAnchor>
  <xdr:twoCellAnchor editAs="oneCell">
    <xdr:from>
      <xdr:col>35</xdr:col>
      <xdr:colOff>91441</xdr:colOff>
      <xdr:row>22</xdr:row>
      <xdr:rowOff>68582</xdr:rowOff>
    </xdr:from>
    <xdr:to>
      <xdr:col>40</xdr:col>
      <xdr:colOff>124932</xdr:colOff>
      <xdr:row>32</xdr:row>
      <xdr:rowOff>7845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DC36D97A-652A-0C54-699F-3709AB643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97141" y="4442462"/>
          <a:ext cx="1100291" cy="1600423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4</xdr:row>
      <xdr:rowOff>130272</xdr:rowOff>
    </xdr:from>
    <xdr:to>
      <xdr:col>8</xdr:col>
      <xdr:colOff>15240</xdr:colOff>
      <xdr:row>10</xdr:row>
      <xdr:rowOff>160504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B08ACF00-CDEF-9569-7151-245A98C9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6220" y="1029432"/>
          <a:ext cx="1524000" cy="1127512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121921</xdr:colOff>
      <xdr:row>9</xdr:row>
      <xdr:rowOff>129540</xdr:rowOff>
    </xdr:from>
    <xdr:to>
      <xdr:col>10</xdr:col>
      <xdr:colOff>143248</xdr:colOff>
      <xdr:row>15</xdr:row>
      <xdr:rowOff>119976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EB957245-7DF0-AED1-0461-2EA8BB8D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3461" y="1943100"/>
          <a:ext cx="1301487" cy="10877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8022</xdr:colOff>
      <xdr:row>4</xdr:row>
      <xdr:rowOff>152400</xdr:rowOff>
    </xdr:from>
    <xdr:to>
      <xdr:col>40</xdr:col>
      <xdr:colOff>41570</xdr:colOff>
      <xdr:row>13</xdr:row>
      <xdr:rowOff>72189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419D028-5B05-47AA-8A58-E553E8A03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562" y="1051560"/>
          <a:ext cx="2380508" cy="1565709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36</xdr:col>
      <xdr:colOff>64972</xdr:colOff>
      <xdr:row>8</xdr:row>
      <xdr:rowOff>122722</xdr:rowOff>
    </xdr:from>
    <xdr:to>
      <xdr:col>45</xdr:col>
      <xdr:colOff>512782</xdr:colOff>
      <xdr:row>17</xdr:row>
      <xdr:rowOff>20053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0DCDD02-704C-42F9-91C7-AB2B95AC9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4032" y="1753402"/>
          <a:ext cx="2406150" cy="1543251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5</xdr:row>
      <xdr:rowOff>83820</xdr:rowOff>
    </xdr:from>
    <xdr:to>
      <xdr:col>5</xdr:col>
      <xdr:colOff>205740</xdr:colOff>
      <xdr:row>9</xdr:row>
      <xdr:rowOff>83820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D930126B-1176-C365-0D68-44497B40F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" y="1165860"/>
          <a:ext cx="1097280" cy="731520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</xdr:colOff>
      <xdr:row>11</xdr:row>
      <xdr:rowOff>121921</xdr:rowOff>
    </xdr:from>
    <xdr:to>
      <xdr:col>7</xdr:col>
      <xdr:colOff>80889</xdr:colOff>
      <xdr:row>14</xdr:row>
      <xdr:rowOff>144781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713DA81A-C20A-212E-79B7-4554CCC5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7240" y="2301241"/>
          <a:ext cx="835269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7</xdr:row>
      <xdr:rowOff>167640</xdr:rowOff>
    </xdr:from>
    <xdr:to>
      <xdr:col>10</xdr:col>
      <xdr:colOff>106681</xdr:colOff>
      <xdr:row>11</xdr:row>
      <xdr:rowOff>95201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78FE8FB9-82FB-9223-6D97-07C1E6C8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2561" y="1615440"/>
          <a:ext cx="845820" cy="659081"/>
        </a:xfrm>
        <a:prstGeom prst="rect">
          <a:avLst/>
        </a:prstGeom>
      </xdr:spPr>
    </xdr:pic>
    <xdr:clientData/>
  </xdr:twoCellAnchor>
  <xdr:twoCellAnchor editAs="oneCell">
    <xdr:from>
      <xdr:col>20</xdr:col>
      <xdr:colOff>83820</xdr:colOff>
      <xdr:row>22</xdr:row>
      <xdr:rowOff>45720</xdr:rowOff>
    </xdr:from>
    <xdr:to>
      <xdr:col>25</xdr:col>
      <xdr:colOff>99299</xdr:colOff>
      <xdr:row>27</xdr:row>
      <xdr:rowOff>20837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2383DDC5-0982-9463-477D-604D1AE84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9120" y="4236720"/>
          <a:ext cx="1082279" cy="805697"/>
        </a:xfrm>
        <a:prstGeom prst="rect">
          <a:avLst/>
        </a:prstGeom>
      </xdr:spPr>
    </xdr:pic>
    <xdr:clientData/>
  </xdr:twoCellAnchor>
  <xdr:twoCellAnchor editAs="oneCell">
    <xdr:from>
      <xdr:col>27</xdr:col>
      <xdr:colOff>167640</xdr:colOff>
      <xdr:row>22</xdr:row>
      <xdr:rowOff>60960</xdr:rowOff>
    </xdr:from>
    <xdr:to>
      <xdr:col>31</xdr:col>
      <xdr:colOff>146851</xdr:colOff>
      <xdr:row>27</xdr:row>
      <xdr:rowOff>96337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DA2243ED-C406-424D-8FAF-6D3EBB46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66460" y="4251960"/>
          <a:ext cx="832651" cy="865957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</xdr:colOff>
      <xdr:row>32</xdr:row>
      <xdr:rowOff>30480</xdr:rowOff>
    </xdr:from>
    <xdr:to>
      <xdr:col>7</xdr:col>
      <xdr:colOff>208764</xdr:colOff>
      <xdr:row>37</xdr:row>
      <xdr:rowOff>33465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7291719D-6B90-5656-9BD5-EE6291E26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" y="5516880"/>
          <a:ext cx="1191744" cy="917385"/>
        </a:xfrm>
        <a:prstGeom prst="rect">
          <a:avLst/>
        </a:prstGeom>
      </xdr:spPr>
    </xdr:pic>
    <xdr:clientData/>
  </xdr:twoCellAnchor>
  <xdr:twoCellAnchor editAs="oneCell">
    <xdr:from>
      <xdr:col>10</xdr:col>
      <xdr:colOff>60960</xdr:colOff>
      <xdr:row>32</xdr:row>
      <xdr:rowOff>15241</xdr:rowOff>
    </xdr:from>
    <xdr:to>
      <xdr:col>16</xdr:col>
      <xdr:colOff>109723</xdr:colOff>
      <xdr:row>37</xdr:row>
      <xdr:rowOff>35374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5F4A279F-9642-6392-F581-B68D1C5FC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32660" y="5501641"/>
          <a:ext cx="1328923" cy="934533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32</xdr:row>
      <xdr:rowOff>7621</xdr:rowOff>
    </xdr:from>
    <xdr:to>
      <xdr:col>24</xdr:col>
      <xdr:colOff>163063</xdr:colOff>
      <xdr:row>36</xdr:row>
      <xdr:rowOff>150618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98286036-FF76-D387-92D0-1DC0C15E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92880" y="5494021"/>
          <a:ext cx="1328923" cy="874517"/>
        </a:xfrm>
        <a:prstGeom prst="rect">
          <a:avLst/>
        </a:prstGeom>
      </xdr:spPr>
    </xdr:pic>
    <xdr:clientData/>
  </xdr:twoCellAnchor>
  <xdr:twoCellAnchor editAs="oneCell">
    <xdr:from>
      <xdr:col>29</xdr:col>
      <xdr:colOff>160020</xdr:colOff>
      <xdr:row>32</xdr:row>
      <xdr:rowOff>15240</xdr:rowOff>
    </xdr:from>
    <xdr:to>
      <xdr:col>35</xdr:col>
      <xdr:colOff>200210</xdr:colOff>
      <xdr:row>36</xdr:row>
      <xdr:rowOff>98221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F31FFD89-8931-25B7-5D31-1D270986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85560" y="5501640"/>
          <a:ext cx="1320350" cy="814501"/>
        </a:xfrm>
        <a:prstGeom prst="rect">
          <a:avLst/>
        </a:prstGeom>
      </xdr:spPr>
    </xdr:pic>
    <xdr:clientData/>
  </xdr:twoCellAnchor>
  <xdr:twoCellAnchor editAs="oneCell">
    <xdr:from>
      <xdr:col>38</xdr:col>
      <xdr:colOff>76201</xdr:colOff>
      <xdr:row>32</xdr:row>
      <xdr:rowOff>22860</xdr:rowOff>
    </xdr:from>
    <xdr:to>
      <xdr:col>44</xdr:col>
      <xdr:colOff>107816</xdr:colOff>
      <xdr:row>36</xdr:row>
      <xdr:rowOff>131562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2828035A-98DB-01C6-6EE9-386FBB7A6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21981" y="5509260"/>
          <a:ext cx="1311775" cy="8402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8022</xdr:colOff>
      <xdr:row>4</xdr:row>
      <xdr:rowOff>152400</xdr:rowOff>
    </xdr:from>
    <xdr:to>
      <xdr:col>40</xdr:col>
      <xdr:colOff>41570</xdr:colOff>
      <xdr:row>13</xdr:row>
      <xdr:rowOff>72189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63B03A7-9F6E-4ADC-A0E0-56FE5007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562" y="1051560"/>
          <a:ext cx="2380508" cy="1565709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36</xdr:col>
      <xdr:colOff>64972</xdr:colOff>
      <xdr:row>8</xdr:row>
      <xdr:rowOff>122722</xdr:rowOff>
    </xdr:from>
    <xdr:to>
      <xdr:col>45</xdr:col>
      <xdr:colOff>512782</xdr:colOff>
      <xdr:row>17</xdr:row>
      <xdr:rowOff>20053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439371-893B-4B52-871B-AFCD9ADA7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4032" y="1753402"/>
          <a:ext cx="2406150" cy="1543251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</xdr:colOff>
      <xdr:row>23</xdr:row>
      <xdr:rowOff>68580</xdr:rowOff>
    </xdr:from>
    <xdr:to>
      <xdr:col>10</xdr:col>
      <xdr:colOff>188828</xdr:colOff>
      <xdr:row>32</xdr:row>
      <xdr:rowOff>169754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6DE69EC3-D2EB-1B82-A667-4212C5BE7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420" y="4991100"/>
          <a:ext cx="1667108" cy="1495634"/>
        </a:xfrm>
        <a:prstGeom prst="rect">
          <a:avLst/>
        </a:prstGeom>
      </xdr:spPr>
    </xdr:pic>
    <xdr:clientData/>
  </xdr:twoCellAnchor>
  <xdr:twoCellAnchor editAs="oneCell">
    <xdr:from>
      <xdr:col>26</xdr:col>
      <xdr:colOff>53340</xdr:colOff>
      <xdr:row>23</xdr:row>
      <xdr:rowOff>60960</xdr:rowOff>
    </xdr:from>
    <xdr:to>
      <xdr:col>32</xdr:col>
      <xdr:colOff>211656</xdr:colOff>
      <xdr:row>32</xdr:row>
      <xdr:rowOff>133555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EC4D64D2-2685-E727-6762-C21F7ED87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4983480"/>
          <a:ext cx="1438476" cy="1467055"/>
        </a:xfrm>
        <a:prstGeom prst="rect">
          <a:avLst/>
        </a:prstGeom>
      </xdr:spPr>
    </xdr:pic>
    <xdr:clientData/>
  </xdr:twoCellAnchor>
  <xdr:twoCellAnchor editAs="oneCell">
    <xdr:from>
      <xdr:col>37</xdr:col>
      <xdr:colOff>15240</xdr:colOff>
      <xdr:row>23</xdr:row>
      <xdr:rowOff>76200</xdr:rowOff>
    </xdr:from>
    <xdr:to>
      <xdr:col>42</xdr:col>
      <xdr:colOff>63021</xdr:colOff>
      <xdr:row>32</xdr:row>
      <xdr:rowOff>158321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7FF4D4E2-3043-CE57-4781-D42B4CB8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47660" y="4450080"/>
          <a:ext cx="1114581" cy="1476581"/>
        </a:xfrm>
        <a:prstGeom prst="rect">
          <a:avLst/>
        </a:prstGeom>
      </xdr:spPr>
    </xdr:pic>
    <xdr:clientData/>
  </xdr:twoCellAnchor>
  <xdr:twoCellAnchor editAs="oneCell">
    <xdr:from>
      <xdr:col>0</xdr:col>
      <xdr:colOff>199959</xdr:colOff>
      <xdr:row>6</xdr:row>
      <xdr:rowOff>66741</xdr:rowOff>
    </xdr:from>
    <xdr:to>
      <xdr:col>4</xdr:col>
      <xdr:colOff>188546</xdr:colOff>
      <xdr:row>15</xdr:row>
      <xdr:rowOff>91965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A38005C1-A9DE-15A0-763A-E0F750C2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9959" y="1331661"/>
          <a:ext cx="880127" cy="1671144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11</xdr:row>
      <xdr:rowOff>121920</xdr:rowOff>
    </xdr:from>
    <xdr:to>
      <xdr:col>9</xdr:col>
      <xdr:colOff>171762</xdr:colOff>
      <xdr:row>15</xdr:row>
      <xdr:rowOff>5937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2A7B09DE-055A-469E-B266-60226C06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4440" y="2301240"/>
          <a:ext cx="895662" cy="615537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</xdr:row>
      <xdr:rowOff>91440</xdr:rowOff>
    </xdr:from>
    <xdr:to>
      <xdr:col>8</xdr:col>
      <xdr:colOff>103241</xdr:colOff>
      <xdr:row>11</xdr:row>
      <xdr:rowOff>42099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55127109-53F4-AF02-C5E1-BC6A6392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7300" y="1356360"/>
          <a:ext cx="590921" cy="865059"/>
        </a:xfrm>
        <a:prstGeom prst="rect">
          <a:avLst/>
        </a:prstGeom>
      </xdr:spPr>
    </xdr:pic>
    <xdr:clientData/>
  </xdr:twoCellAnchor>
  <xdr:twoCellAnchor editAs="oneCell">
    <xdr:from>
      <xdr:col>14</xdr:col>
      <xdr:colOff>83820</xdr:colOff>
      <xdr:row>23</xdr:row>
      <xdr:rowOff>76200</xdr:rowOff>
    </xdr:from>
    <xdr:to>
      <xdr:col>22</xdr:col>
      <xdr:colOff>44048</xdr:colOff>
      <xdr:row>32</xdr:row>
      <xdr:rowOff>177374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1D99E14C-B48D-4936-BAFE-E9FBB8EC5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8960" y="4450080"/>
          <a:ext cx="1667108" cy="1495634"/>
        </a:xfrm>
        <a:prstGeom prst="rect">
          <a:avLst/>
        </a:prstGeom>
      </xdr:spPr>
    </xdr:pic>
    <xdr:clientData/>
  </xdr:twoCellAnchor>
  <xdr:twoCellAnchor editAs="oneCell">
    <xdr:from>
      <xdr:col>17</xdr:col>
      <xdr:colOff>68579</xdr:colOff>
      <xdr:row>31</xdr:row>
      <xdr:rowOff>83819</xdr:rowOff>
    </xdr:from>
    <xdr:to>
      <xdr:col>21</xdr:col>
      <xdr:colOff>53340</xdr:colOff>
      <xdr:row>36</xdr:row>
      <xdr:rowOff>0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BA447396-94B5-BDE4-0FF0-453386061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33799" y="5669279"/>
          <a:ext cx="838201" cy="830581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30</xdr:row>
      <xdr:rowOff>167641</xdr:rowOff>
    </xdr:from>
    <xdr:to>
      <xdr:col>10</xdr:col>
      <xdr:colOff>26492</xdr:colOff>
      <xdr:row>36</xdr:row>
      <xdr:rowOff>15241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AF08C771-7560-2359-F62E-6D001F60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26820" y="5570221"/>
          <a:ext cx="971372" cy="944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8022</xdr:colOff>
      <xdr:row>4</xdr:row>
      <xdr:rowOff>152400</xdr:rowOff>
    </xdr:from>
    <xdr:to>
      <xdr:col>40</xdr:col>
      <xdr:colOff>41570</xdr:colOff>
      <xdr:row>13</xdr:row>
      <xdr:rowOff>72189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9764F6E-8CE4-42BB-B4ED-228EFDF99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562" y="1051560"/>
          <a:ext cx="2380508" cy="1565709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36</xdr:col>
      <xdr:colOff>64972</xdr:colOff>
      <xdr:row>8</xdr:row>
      <xdr:rowOff>122722</xdr:rowOff>
    </xdr:from>
    <xdr:to>
      <xdr:col>45</xdr:col>
      <xdr:colOff>512782</xdr:colOff>
      <xdr:row>17</xdr:row>
      <xdr:rowOff>20053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691BD4F-29F5-4F9D-8CA0-206A75C5E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4032" y="1753402"/>
          <a:ext cx="2406150" cy="1543251"/>
        </a:xfrm>
        <a:prstGeom prst="rect">
          <a:avLst/>
        </a:prstGeom>
        <a:noFill/>
        <a:ln w="28575">
          <a:solidFill>
            <a:srgbClr val="A6A6A6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121921</xdr:colOff>
      <xdr:row>4</xdr:row>
      <xdr:rowOff>60961</xdr:rowOff>
    </xdr:from>
    <xdr:to>
      <xdr:col>4</xdr:col>
      <xdr:colOff>15241</xdr:colOff>
      <xdr:row>16</xdr:row>
      <xdr:rowOff>89125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302001DE-4B55-131E-82F9-4EFCD129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1" y="960121"/>
          <a:ext cx="784860" cy="222272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15241</xdr:colOff>
      <xdr:row>9</xdr:row>
      <xdr:rowOff>30481</xdr:rowOff>
    </xdr:from>
    <xdr:to>
      <xdr:col>8</xdr:col>
      <xdr:colOff>129540</xdr:colOff>
      <xdr:row>13</xdr:row>
      <xdr:rowOff>141059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80BDCFF7-17EF-4045-AFA1-4E776ED9F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0141" y="1844041"/>
          <a:ext cx="754379" cy="842098"/>
        </a:xfrm>
        <a:prstGeom prst="rect">
          <a:avLst/>
        </a:prstGeom>
      </xdr:spPr>
    </xdr:pic>
    <xdr:clientData/>
  </xdr:twoCellAnchor>
  <xdr:twoCellAnchor>
    <xdr:from>
      <xdr:col>7</xdr:col>
      <xdr:colOff>83820</xdr:colOff>
      <xdr:row>24</xdr:row>
      <xdr:rowOff>162791</xdr:rowOff>
    </xdr:from>
    <xdr:to>
      <xdr:col>13</xdr:col>
      <xdr:colOff>129540</xdr:colOff>
      <xdr:row>34</xdr:row>
      <xdr:rowOff>110859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25BA87C1-0505-F7BA-3484-8797400ECF18}"/>
            </a:ext>
          </a:extLst>
        </xdr:cNvPr>
        <xdr:cNvGrpSpPr/>
      </xdr:nvGrpSpPr>
      <xdr:grpSpPr>
        <a:xfrm>
          <a:off x="1788795" y="4677641"/>
          <a:ext cx="1474470" cy="1500643"/>
          <a:chOff x="1632758" y="4734791"/>
          <a:chExt cx="1334193" cy="1534413"/>
        </a:xfrm>
      </xdr:grpSpPr>
      <xdr:pic>
        <xdr:nvPicPr>
          <xdr:cNvPr id="15" name="Obrázek 14">
            <a:extLst>
              <a:ext uri="{FF2B5EF4-FFF2-40B4-BE49-F238E27FC236}">
                <a16:creationId xmlns:a16="http://schemas.microsoft.com/office/drawing/2014/main" id="{89719ED0-F2C6-4BAE-BC1A-D953A942B0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632758" y="4749565"/>
            <a:ext cx="1334193" cy="1519639"/>
          </a:xfrm>
          <a:prstGeom prst="rect">
            <a:avLst/>
          </a:prstGeom>
        </xdr:spPr>
      </xdr:pic>
      <xdr:sp macro="" textlink="">
        <xdr:nvSpPr>
          <xdr:cNvPr id="5" name="Obdélník 4">
            <a:extLst>
              <a:ext uri="{FF2B5EF4-FFF2-40B4-BE49-F238E27FC236}">
                <a16:creationId xmlns:a16="http://schemas.microsoft.com/office/drawing/2014/main" id="{8D25C5E7-0C6F-5417-8E65-35DE2F7431E7}"/>
              </a:ext>
            </a:extLst>
          </xdr:cNvPr>
          <xdr:cNvSpPr/>
        </xdr:nvSpPr>
        <xdr:spPr bwMode="auto">
          <a:xfrm>
            <a:off x="1804555" y="4734791"/>
            <a:ext cx="973282" cy="585354"/>
          </a:xfrm>
          <a:prstGeom prst="rect">
            <a:avLst/>
          </a:prstGeom>
          <a:solidFill>
            <a:sysClr val="window" lastClr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  <xdr:sp macro="" textlink="">
        <xdr:nvSpPr>
          <xdr:cNvPr id="6" name="Obdélník 5">
            <a:extLst>
              <a:ext uri="{FF2B5EF4-FFF2-40B4-BE49-F238E27FC236}">
                <a16:creationId xmlns:a16="http://schemas.microsoft.com/office/drawing/2014/main" id="{3C2ABCB4-CFD3-4A60-9424-F13499C2BDB1}"/>
              </a:ext>
            </a:extLst>
          </xdr:cNvPr>
          <xdr:cNvSpPr/>
        </xdr:nvSpPr>
        <xdr:spPr bwMode="auto">
          <a:xfrm>
            <a:off x="1880754" y="5559135"/>
            <a:ext cx="259773" cy="252845"/>
          </a:xfrm>
          <a:prstGeom prst="rect">
            <a:avLst/>
          </a:prstGeom>
          <a:solidFill>
            <a:sysClr val="window" lastClr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</xdr:grpSp>
    <xdr:clientData/>
  </xdr:twoCellAnchor>
  <xdr:twoCellAnchor>
    <xdr:from>
      <xdr:col>19</xdr:col>
      <xdr:colOff>99060</xdr:colOff>
      <xdr:row>24</xdr:row>
      <xdr:rowOff>169945</xdr:rowOff>
    </xdr:from>
    <xdr:to>
      <xdr:col>25</xdr:col>
      <xdr:colOff>144780</xdr:colOff>
      <xdr:row>34</xdr:row>
      <xdr:rowOff>103239</xdr:rowOff>
    </xdr:to>
    <xdr:grpSp>
      <xdr:nvGrpSpPr>
        <xdr:cNvPr id="25" name="Skupina 24">
          <a:extLst>
            <a:ext uri="{FF2B5EF4-FFF2-40B4-BE49-F238E27FC236}">
              <a16:creationId xmlns:a16="http://schemas.microsoft.com/office/drawing/2014/main" id="{A6E1DE21-DA0C-AE61-8FB9-D82A53352B5A}"/>
            </a:ext>
          </a:extLst>
        </xdr:cNvPr>
        <xdr:cNvGrpSpPr/>
      </xdr:nvGrpSpPr>
      <xdr:grpSpPr>
        <a:xfrm>
          <a:off x="4661535" y="4684795"/>
          <a:ext cx="1474470" cy="1485869"/>
          <a:chOff x="4194464" y="4741945"/>
          <a:chExt cx="1334192" cy="1519639"/>
        </a:xfrm>
      </xdr:grpSpPr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04C0A9BD-0DA5-4AF3-A813-B52F7A1F43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194464" y="4741945"/>
            <a:ext cx="1334192" cy="1519639"/>
          </a:xfrm>
          <a:prstGeom prst="rect">
            <a:avLst/>
          </a:prstGeom>
        </xdr:spPr>
      </xdr:pic>
      <xdr:sp macro="" textlink="">
        <xdr:nvSpPr>
          <xdr:cNvPr id="18" name="Obdélník 17">
            <a:extLst>
              <a:ext uri="{FF2B5EF4-FFF2-40B4-BE49-F238E27FC236}">
                <a16:creationId xmlns:a16="http://schemas.microsoft.com/office/drawing/2014/main" id="{D6FA22EB-095F-4681-A456-E4B65FE7F435}"/>
              </a:ext>
            </a:extLst>
          </xdr:cNvPr>
          <xdr:cNvSpPr/>
        </xdr:nvSpPr>
        <xdr:spPr bwMode="auto">
          <a:xfrm>
            <a:off x="4488872" y="4946073"/>
            <a:ext cx="259773" cy="193962"/>
          </a:xfrm>
          <a:prstGeom prst="rect">
            <a:avLst/>
          </a:prstGeom>
          <a:solidFill>
            <a:sysClr val="window" lastClr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  <xdr:pic>
        <xdr:nvPicPr>
          <xdr:cNvPr id="20" name="Obrázek 19">
            <a:extLst>
              <a:ext uri="{FF2B5EF4-FFF2-40B4-BE49-F238E27FC236}">
                <a16:creationId xmlns:a16="http://schemas.microsoft.com/office/drawing/2014/main" id="{C03A5CC3-86BA-32BD-6508-54522F1E4F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 flipV="1">
            <a:off x="4918365" y="4817920"/>
            <a:ext cx="418938" cy="550505"/>
          </a:xfrm>
          <a:prstGeom prst="rect">
            <a:avLst/>
          </a:prstGeom>
        </xdr:spPr>
      </xdr:pic>
      <xdr:sp macro="" textlink="">
        <xdr:nvSpPr>
          <xdr:cNvPr id="21" name="Obdélník 20">
            <a:extLst>
              <a:ext uri="{FF2B5EF4-FFF2-40B4-BE49-F238E27FC236}">
                <a16:creationId xmlns:a16="http://schemas.microsoft.com/office/drawing/2014/main" id="{95257187-98EB-47A5-82F0-01256F3226A2}"/>
              </a:ext>
            </a:extLst>
          </xdr:cNvPr>
          <xdr:cNvSpPr/>
        </xdr:nvSpPr>
        <xdr:spPr bwMode="auto">
          <a:xfrm>
            <a:off x="4433454" y="5600700"/>
            <a:ext cx="259773" cy="193962"/>
          </a:xfrm>
          <a:prstGeom prst="rect">
            <a:avLst/>
          </a:prstGeom>
          <a:solidFill>
            <a:sysClr val="window" lastClr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  <xdr:sp macro="" textlink="">
        <xdr:nvSpPr>
          <xdr:cNvPr id="22" name="Obdélník 21">
            <a:extLst>
              <a:ext uri="{FF2B5EF4-FFF2-40B4-BE49-F238E27FC236}">
                <a16:creationId xmlns:a16="http://schemas.microsoft.com/office/drawing/2014/main" id="{B6948521-B554-4DE9-ABA8-518548B6B000}"/>
              </a:ext>
            </a:extLst>
          </xdr:cNvPr>
          <xdr:cNvSpPr/>
        </xdr:nvSpPr>
        <xdr:spPr bwMode="auto">
          <a:xfrm>
            <a:off x="4963391" y="5525238"/>
            <a:ext cx="374073" cy="502228"/>
          </a:xfrm>
          <a:prstGeom prst="rect">
            <a:avLst/>
          </a:prstGeom>
          <a:solidFill>
            <a:sysClr val="window" lastClr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  <xdr:cxnSp macro="">
        <xdr:nvCxnSpPr>
          <xdr:cNvPr id="24" name="Přímá spojnice 23">
            <a:extLst>
              <a:ext uri="{FF2B5EF4-FFF2-40B4-BE49-F238E27FC236}">
                <a16:creationId xmlns:a16="http://schemas.microsoft.com/office/drawing/2014/main" id="{F1507026-AAE5-F710-F3C8-53EF68DC570F}"/>
              </a:ext>
            </a:extLst>
          </xdr:cNvPr>
          <xdr:cNvCxnSpPr/>
        </xdr:nvCxnSpPr>
        <xdr:spPr bwMode="auto">
          <a:xfrm>
            <a:off x="5323611" y="5500255"/>
            <a:ext cx="0" cy="550718"/>
          </a:xfrm>
          <a:prstGeom prst="line">
            <a:avLst/>
          </a:prstGeom>
          <a:solidFill>
            <a:srgbClr val="FFFFE1"/>
          </a:solidFill>
          <a:ln w="12700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32</xdr:col>
      <xdr:colOff>115042</xdr:colOff>
      <xdr:row>24</xdr:row>
      <xdr:rowOff>170039</xdr:rowOff>
    </xdr:from>
    <xdr:to>
      <xdr:col>38</xdr:col>
      <xdr:colOff>160762</xdr:colOff>
      <xdr:row>34</xdr:row>
      <xdr:rowOff>118107</xdr:rowOff>
    </xdr:to>
    <xdr:grpSp>
      <xdr:nvGrpSpPr>
        <xdr:cNvPr id="49" name="Skupina 48">
          <a:extLst>
            <a:ext uri="{FF2B5EF4-FFF2-40B4-BE49-F238E27FC236}">
              <a16:creationId xmlns:a16="http://schemas.microsoft.com/office/drawing/2014/main" id="{BDEF9805-F22A-DDC7-950C-5EA5DF4BFBB4}"/>
            </a:ext>
          </a:extLst>
        </xdr:cNvPr>
        <xdr:cNvGrpSpPr/>
      </xdr:nvGrpSpPr>
      <xdr:grpSpPr>
        <a:xfrm>
          <a:off x="7773142" y="4684889"/>
          <a:ext cx="1474470" cy="1500643"/>
          <a:chOff x="7111726" y="4729847"/>
          <a:chExt cx="1325880" cy="1529980"/>
        </a:xfrm>
      </xdr:grpSpPr>
      <xdr:grpSp>
        <xdr:nvGrpSpPr>
          <xdr:cNvPr id="47" name="Skupina 46">
            <a:extLst>
              <a:ext uri="{FF2B5EF4-FFF2-40B4-BE49-F238E27FC236}">
                <a16:creationId xmlns:a16="http://schemas.microsoft.com/office/drawing/2014/main" id="{EFA120A8-6749-D6E7-E318-1C302E5F7F19}"/>
              </a:ext>
            </a:extLst>
          </xdr:cNvPr>
          <xdr:cNvGrpSpPr/>
        </xdr:nvGrpSpPr>
        <xdr:grpSpPr>
          <a:xfrm>
            <a:off x="7111726" y="4729847"/>
            <a:ext cx="1325880" cy="1529980"/>
            <a:chOff x="7155922" y="4742039"/>
            <a:chExt cx="1334193" cy="1534413"/>
          </a:xfrm>
        </xdr:grpSpPr>
        <xdr:grpSp>
          <xdr:nvGrpSpPr>
            <xdr:cNvPr id="26" name="Skupina 25">
              <a:extLst>
                <a:ext uri="{FF2B5EF4-FFF2-40B4-BE49-F238E27FC236}">
                  <a16:creationId xmlns:a16="http://schemas.microsoft.com/office/drawing/2014/main" id="{BA80A4BB-327F-4323-8F71-16225FAB6D6E}"/>
                </a:ext>
              </a:extLst>
            </xdr:cNvPr>
            <xdr:cNvGrpSpPr/>
          </xdr:nvGrpSpPr>
          <xdr:grpSpPr>
            <a:xfrm>
              <a:off x="7155922" y="4742039"/>
              <a:ext cx="1334193" cy="1534413"/>
              <a:chOff x="1632758" y="4734791"/>
              <a:chExt cx="1334193" cy="1534413"/>
            </a:xfrm>
          </xdr:grpSpPr>
          <xdr:pic>
            <xdr:nvPicPr>
              <xdr:cNvPr id="27" name="Obrázek 26">
                <a:extLst>
                  <a:ext uri="{FF2B5EF4-FFF2-40B4-BE49-F238E27FC236}">
                    <a16:creationId xmlns:a16="http://schemas.microsoft.com/office/drawing/2014/main" id="{25709E87-D314-450E-DF78-C68A742B1E0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/>
              <a:stretch>
                <a:fillRect/>
              </a:stretch>
            </xdr:blipFill>
            <xdr:spPr>
              <a:xfrm>
                <a:off x="1632758" y="4749565"/>
                <a:ext cx="1334193" cy="1519639"/>
              </a:xfrm>
              <a:prstGeom prst="rect">
                <a:avLst/>
              </a:prstGeom>
            </xdr:spPr>
          </xdr:pic>
          <xdr:sp macro="" textlink="">
            <xdr:nvSpPr>
              <xdr:cNvPr id="28" name="Obdélník 27">
                <a:extLst>
                  <a:ext uri="{FF2B5EF4-FFF2-40B4-BE49-F238E27FC236}">
                    <a16:creationId xmlns:a16="http://schemas.microsoft.com/office/drawing/2014/main" id="{8BB16D96-E77C-3EA0-4A69-6DF14A7C3F5C}"/>
                  </a:ext>
                </a:extLst>
              </xdr:cNvPr>
              <xdr:cNvSpPr/>
            </xdr:nvSpPr>
            <xdr:spPr bwMode="auto">
              <a:xfrm>
                <a:off x="1804555" y="4734791"/>
                <a:ext cx="973282" cy="585354"/>
              </a:xfrm>
              <a:prstGeom prst="rect">
                <a:avLst/>
              </a:prstGeom>
              <a:solidFill>
                <a:sysClr val="window" lastClr="FFFFFF"/>
              </a:solidFill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endParaRPr lang="sk-SK" sz="1100"/>
              </a:p>
            </xdr:txBody>
          </xdr:sp>
          <xdr:sp macro="" textlink="">
            <xdr:nvSpPr>
              <xdr:cNvPr id="29" name="Obdélník 28">
                <a:extLst>
                  <a:ext uri="{FF2B5EF4-FFF2-40B4-BE49-F238E27FC236}">
                    <a16:creationId xmlns:a16="http://schemas.microsoft.com/office/drawing/2014/main" id="{E8B7C3BF-DD1C-72CD-D9D7-0864FE877969}"/>
                  </a:ext>
                </a:extLst>
              </xdr:cNvPr>
              <xdr:cNvSpPr/>
            </xdr:nvSpPr>
            <xdr:spPr bwMode="auto">
              <a:xfrm>
                <a:off x="1880754" y="5559135"/>
                <a:ext cx="259773" cy="252845"/>
              </a:xfrm>
              <a:prstGeom prst="rect">
                <a:avLst/>
              </a:prstGeom>
              <a:solidFill>
                <a:sysClr val="window" lastClr="FFFFFF"/>
              </a:solidFill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endParaRPr lang="sk-SK" sz="1100"/>
              </a:p>
            </xdr:txBody>
          </xdr:sp>
        </xdr:grpSp>
        <xdr:sp macro="" textlink="">
          <xdr:nvSpPr>
            <xdr:cNvPr id="30" name="Obdélník 29">
              <a:extLst>
                <a:ext uri="{FF2B5EF4-FFF2-40B4-BE49-F238E27FC236}">
                  <a16:creationId xmlns:a16="http://schemas.microsoft.com/office/drawing/2014/main" id="{AA389B2F-DBFC-4D21-A20E-EDBEB0054230}"/>
                </a:ext>
              </a:extLst>
            </xdr:cNvPr>
            <xdr:cNvSpPr/>
          </xdr:nvSpPr>
          <xdr:spPr bwMode="auto">
            <a:xfrm>
              <a:off x="7924446" y="5539189"/>
              <a:ext cx="374549" cy="498094"/>
            </a:xfrm>
            <a:prstGeom prst="rect">
              <a:avLst/>
            </a:prstGeom>
            <a:solidFill>
              <a:sysClr val="window" lastClr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endParaRPr lang="sk-SK" sz="1100"/>
            </a:p>
          </xdr:txBody>
        </xdr:sp>
        <xdr:sp macro="" textlink="">
          <xdr:nvSpPr>
            <xdr:cNvPr id="37" name="Obdélník 36">
              <a:extLst>
                <a:ext uri="{FF2B5EF4-FFF2-40B4-BE49-F238E27FC236}">
                  <a16:creationId xmlns:a16="http://schemas.microsoft.com/office/drawing/2014/main" id="{CB1CBA9A-1693-4B74-9706-E92FB4150FF3}"/>
                </a:ext>
              </a:extLst>
            </xdr:cNvPr>
            <xdr:cNvSpPr/>
          </xdr:nvSpPr>
          <xdr:spPr bwMode="auto">
            <a:xfrm>
              <a:off x="8220414" y="5246252"/>
              <a:ext cx="72424" cy="340909"/>
            </a:xfrm>
            <a:prstGeom prst="rect">
              <a:avLst/>
            </a:prstGeom>
            <a:solidFill>
              <a:sysClr val="window" lastClr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endParaRPr lang="sk-SK" sz="1100"/>
            </a:p>
          </xdr:txBody>
        </xdr:sp>
      </xdr:grpSp>
      <xdr:cxnSp macro="">
        <xdr:nvCxnSpPr>
          <xdr:cNvPr id="39" name="Přímá spojnice 38">
            <a:extLst>
              <a:ext uri="{FF2B5EF4-FFF2-40B4-BE49-F238E27FC236}">
                <a16:creationId xmlns:a16="http://schemas.microsoft.com/office/drawing/2014/main" id="{521D2143-518D-4B91-8BF2-7D7C36906472}"/>
              </a:ext>
            </a:extLst>
          </xdr:cNvPr>
          <xdr:cNvCxnSpPr/>
        </xdr:nvCxnSpPr>
        <xdr:spPr bwMode="auto">
          <a:xfrm>
            <a:off x="8165475" y="5314824"/>
            <a:ext cx="0" cy="196680"/>
          </a:xfrm>
          <a:prstGeom prst="line">
            <a:avLst/>
          </a:prstGeom>
          <a:solidFill>
            <a:srgbClr val="FFFFE1"/>
          </a:solidFill>
          <a:ln w="12700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34" name="Obdélník 33">
            <a:extLst>
              <a:ext uri="{FF2B5EF4-FFF2-40B4-BE49-F238E27FC236}">
                <a16:creationId xmlns:a16="http://schemas.microsoft.com/office/drawing/2014/main" id="{0AF4613C-0B77-42C3-B602-F542AE7A1B2E}"/>
              </a:ext>
            </a:extLst>
          </xdr:cNvPr>
          <xdr:cNvSpPr/>
        </xdr:nvSpPr>
        <xdr:spPr bwMode="auto">
          <a:xfrm>
            <a:off x="8201319" y="5186142"/>
            <a:ext cx="45719" cy="500725"/>
          </a:xfrm>
          <a:prstGeom prst="rect">
            <a:avLst/>
          </a:prstGeom>
          <a:solidFill>
            <a:sysClr val="window" lastClr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sk-SK" sz="1100"/>
          </a:p>
        </xdr:txBody>
      </xdr:sp>
      <xdr:cxnSp macro="">
        <xdr:nvCxnSpPr>
          <xdr:cNvPr id="31" name="Přímá spojnice 30">
            <a:extLst>
              <a:ext uri="{FF2B5EF4-FFF2-40B4-BE49-F238E27FC236}">
                <a16:creationId xmlns:a16="http://schemas.microsoft.com/office/drawing/2014/main" id="{94943CEF-F135-408C-B304-48C0EFD9BD77}"/>
              </a:ext>
            </a:extLst>
          </xdr:cNvPr>
          <xdr:cNvCxnSpPr/>
        </xdr:nvCxnSpPr>
        <xdr:spPr bwMode="auto">
          <a:xfrm>
            <a:off x="8233538" y="4783085"/>
            <a:ext cx="0" cy="1436544"/>
          </a:xfrm>
          <a:prstGeom prst="line">
            <a:avLst/>
          </a:prstGeom>
          <a:solidFill>
            <a:srgbClr val="FFFFE1"/>
          </a:solidFill>
          <a:ln w="12700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34</xdr:col>
      <xdr:colOff>134113</xdr:colOff>
      <xdr:row>27</xdr:row>
      <xdr:rowOff>94127</xdr:rowOff>
    </xdr:from>
    <xdr:to>
      <xdr:col>39</xdr:col>
      <xdr:colOff>35666</xdr:colOff>
      <xdr:row>28</xdr:row>
      <xdr:rowOff>85537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2373C135-1089-C9F9-1A7A-CBDE597DAA9C}"/>
            </a:ext>
          </a:extLst>
        </xdr:cNvPr>
        <xdr:cNvGrpSpPr/>
      </xdr:nvGrpSpPr>
      <xdr:grpSpPr>
        <a:xfrm>
          <a:off x="8268463" y="5066177"/>
          <a:ext cx="1092178" cy="172385"/>
          <a:chOff x="7445811" y="4526697"/>
          <a:chExt cx="971855" cy="172993"/>
        </a:xfrm>
      </xdr:grpSpPr>
      <xdr:cxnSp macro="">
        <xdr:nvCxnSpPr>
          <xdr:cNvPr id="53" name="Přímá spojnice 122">
            <a:extLst>
              <a:ext uri="{FF2B5EF4-FFF2-40B4-BE49-F238E27FC236}">
                <a16:creationId xmlns:a16="http://schemas.microsoft.com/office/drawing/2014/main" id="{309BBD88-EF34-58BF-E511-F8F9E31973BE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8118334" y="4604248"/>
            <a:ext cx="299332" cy="0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4" name="Přímá spojnice 129">
            <a:extLst>
              <a:ext uri="{FF2B5EF4-FFF2-40B4-BE49-F238E27FC236}">
                <a16:creationId xmlns:a16="http://schemas.microsoft.com/office/drawing/2014/main" id="{F4ACF2CD-C590-26E5-7CFC-5D375AD04E1C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8032037" y="4611246"/>
            <a:ext cx="169097" cy="0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5" name="Přímá spojnice 129">
            <a:extLst>
              <a:ext uri="{FF2B5EF4-FFF2-40B4-BE49-F238E27FC236}">
                <a16:creationId xmlns:a16="http://schemas.microsoft.com/office/drawing/2014/main" id="{6348C682-A9C6-29FB-2D80-AE3AD9636FDC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7969017" y="4615142"/>
            <a:ext cx="169097" cy="0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6" name="Přímá spojnice 122">
            <a:extLst>
              <a:ext uri="{FF2B5EF4-FFF2-40B4-BE49-F238E27FC236}">
                <a16:creationId xmlns:a16="http://schemas.microsoft.com/office/drawing/2014/main" id="{C464A2F1-0663-56F0-95A1-EFE2A3AFEDB2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445811" y="4604425"/>
            <a:ext cx="611140" cy="0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 type="triangl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7" name="Přímá spojnice 122">
            <a:extLst>
              <a:ext uri="{FF2B5EF4-FFF2-40B4-BE49-F238E27FC236}">
                <a16:creationId xmlns:a16="http://schemas.microsoft.com/office/drawing/2014/main" id="{463C5B7C-98BB-0B80-3FFA-969F678C64D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968506" y="4604426"/>
            <a:ext cx="248123" cy="0"/>
          </a:xfrm>
          <a:prstGeom prst="line">
            <a:avLst/>
          </a:prstGeom>
          <a:noFill/>
          <a:ln w="0" algn="ctr">
            <a:solidFill>
              <a:srgbClr val="558ED5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32</xdr:col>
      <xdr:colOff>205740</xdr:colOff>
      <xdr:row>26</xdr:row>
      <xdr:rowOff>15240</xdr:rowOff>
    </xdr:from>
    <xdr:to>
      <xdr:col>37</xdr:col>
      <xdr:colOff>82296</xdr:colOff>
      <xdr:row>28</xdr:row>
      <xdr:rowOff>47244</xdr:rowOff>
    </xdr:to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00E45DEC-7CB7-90D0-79D6-849165732CAB}"/>
            </a:ext>
          </a:extLst>
        </xdr:cNvPr>
        <xdr:cNvSpPr txBox="1"/>
      </xdr:nvSpPr>
      <xdr:spPr>
        <a:xfrm>
          <a:off x="7071360" y="4937760"/>
          <a:ext cx="943356" cy="313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sk-SK" sz="1100" b="1">
              <a:latin typeface="Arial" panose="020B0604020202020204" pitchFamily="34" charset="0"/>
              <a:cs typeface="Arial" panose="020B0604020202020204" pitchFamily="34" charset="0"/>
            </a:rPr>
            <a:t>&gt;=</a:t>
          </a:r>
          <a:r>
            <a:rPr lang="sk-SK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k-SK" sz="1100" b="1">
              <a:latin typeface="Arial" panose="020B0604020202020204" pitchFamily="34" charset="0"/>
              <a:cs typeface="Arial" panose="020B0604020202020204" pitchFamily="34" charset="0"/>
            </a:rPr>
            <a:t>5mm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596265</xdr:colOff>
      <xdr:row>55</xdr:row>
      <xdr:rowOff>28575</xdr:rowOff>
    </xdr:from>
    <xdr:to>
      <xdr:col>1</xdr:col>
      <xdr:colOff>753261</xdr:colOff>
      <xdr:row>56</xdr:row>
      <xdr:rowOff>18075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DADD1E9-7FB1-4BC6-820E-290CAE2ECB6E}"/>
            </a:ext>
          </a:extLst>
        </xdr:cNvPr>
        <xdr:cNvSpPr txBox="1">
          <a:spLocks noChangeAspect="1"/>
        </xdr:cNvSpPr>
      </xdr:nvSpPr>
      <xdr:spPr>
        <a:xfrm>
          <a:off x="710565" y="70757415"/>
          <a:ext cx="156996" cy="1800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12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i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601980</xdr:colOff>
          <xdr:row>59</xdr:row>
          <xdr:rowOff>0</xdr:rowOff>
        </xdr:from>
        <xdr:to>
          <xdr:col>12</xdr:col>
          <xdr:colOff>7620</xdr:colOff>
          <xdr:row>60</xdr:row>
          <xdr:rowOff>68580</xdr:rowOff>
        </xdr:to>
        <xdr:sp macro="" textlink="">
          <xdr:nvSpPr>
            <xdr:cNvPr id="985089" name="Button 1" hidden="1">
              <a:extLst>
                <a:ext uri="{63B3BB69-23CF-44E3-9099-C40C66FF867C}">
                  <a14:compatExt spid="_x0000_s985089"/>
                </a:ext>
                <a:ext uri="{FF2B5EF4-FFF2-40B4-BE49-F238E27FC236}">
                  <a16:creationId xmlns:a16="http://schemas.microsoft.com/office/drawing/2014/main" id="{00000000-0008-0000-0800-00000108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k-SK" sz="9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VYTVORIŤ  OBJEDNÁVKU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1188720</xdr:colOff>
      <xdr:row>116</xdr:row>
      <xdr:rowOff>53340</xdr:rowOff>
    </xdr:from>
    <xdr:to>
      <xdr:col>2</xdr:col>
      <xdr:colOff>4099560</xdr:colOff>
      <xdr:row>126</xdr:row>
      <xdr:rowOff>60960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12F0073-C3C4-4589-8C95-940B1CB2D37E}"/>
            </a:ext>
          </a:extLst>
        </xdr:cNvPr>
        <xdr:cNvSpPr txBox="1"/>
      </xdr:nvSpPr>
      <xdr:spPr>
        <a:xfrm>
          <a:off x="2095500" y="20596860"/>
          <a:ext cx="2910840" cy="176022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4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</a:rPr>
            <a:t>zatiaľ KONIEC</a:t>
          </a:r>
        </a:p>
      </xdr:txBody>
    </xdr:sp>
    <xdr:clientData/>
  </xdr:twoCellAnchor>
  <xdr:twoCellAnchor>
    <xdr:from>
      <xdr:col>2</xdr:col>
      <xdr:colOff>1150620</xdr:colOff>
      <xdr:row>105</xdr:row>
      <xdr:rowOff>30480</xdr:rowOff>
    </xdr:from>
    <xdr:to>
      <xdr:col>2</xdr:col>
      <xdr:colOff>4061460</xdr:colOff>
      <xdr:row>115</xdr:row>
      <xdr:rowOff>38100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B78CED7E-2E8F-4037-9727-2BAEE0C8ED37}"/>
            </a:ext>
          </a:extLst>
        </xdr:cNvPr>
        <xdr:cNvSpPr txBox="1"/>
      </xdr:nvSpPr>
      <xdr:spPr>
        <a:xfrm>
          <a:off x="2057400" y="18646140"/>
          <a:ext cx="2910840" cy="176022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4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</a:rPr>
            <a:t>zatiaľ KONIEC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solidFill>
          <a:srgbClr val="FFFFE1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ettich.com/short/t9k10cz" TargetMode="External"/><Relationship Id="rId2" Type="http://schemas.openxmlformats.org/officeDocument/2006/relationships/hyperlink" Target="http://www.hettich.com/short/xbqvp8y" TargetMode="External"/><Relationship Id="rId1" Type="http://schemas.openxmlformats.org/officeDocument/2006/relationships/hyperlink" Target="http://www.hettich.com/short/ayxce5w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hettich.com/short/p3jxl9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656D-22B2-4384-8ED2-97EADBFD11CB}">
  <sheetPr codeName="List5"/>
  <dimension ref="A1:BJ40"/>
  <sheetViews>
    <sheetView showGridLines="0" showRowColHeaders="0" zoomScale="95" zoomScaleNormal="95" workbookViewId="0">
      <pane ySplit="4" topLeftCell="A5" activePane="bottomLeft" state="frozen"/>
      <selection pane="bottomLeft" activeCell="A5" sqref="A5"/>
    </sheetView>
  </sheetViews>
  <sheetFormatPr defaultColWidth="9" defaultRowHeight="13.9"/>
  <cols>
    <col min="1" max="1" width="3.625" style="11" customWidth="1"/>
    <col min="2" max="44" width="3.125" style="11" customWidth="1"/>
    <col min="45" max="45" width="3.625" style="11" customWidth="1"/>
    <col min="46" max="48" width="9" style="11" customWidth="1"/>
    <col min="49" max="16384" width="9" style="11"/>
  </cols>
  <sheetData>
    <row r="1" spans="1:62" ht="12.95" customHeight="1" thickBot="1"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23.1" customHeight="1" thickBot="1">
      <c r="B2" s="322" t="str">
        <f>Verzie!E12</f>
        <v>&lt;&lt;  zpět</v>
      </c>
      <c r="C2" s="323"/>
      <c r="D2" s="323"/>
      <c r="E2" s="324"/>
      <c r="G2" s="325" t="str">
        <f>Verzie!E5</f>
        <v xml:space="preserve"> Úvod</v>
      </c>
      <c r="H2" s="326"/>
      <c r="I2" s="326"/>
      <c r="J2" s="326"/>
      <c r="K2" s="327"/>
      <c r="O2" s="328"/>
      <c r="P2" s="329"/>
      <c r="Q2" s="329"/>
      <c r="R2" s="329"/>
      <c r="S2" s="330"/>
      <c r="U2" s="328"/>
      <c r="V2" s="329"/>
      <c r="W2" s="329"/>
      <c r="X2" s="329"/>
      <c r="Y2" s="330"/>
      <c r="AA2" s="328"/>
      <c r="AB2" s="329"/>
      <c r="AC2" s="329"/>
      <c r="AD2" s="329"/>
      <c r="AE2" s="330"/>
      <c r="AI2" s="328" t="str">
        <f>Verzie!E9</f>
        <v xml:space="preserve"> Objednávka</v>
      </c>
      <c r="AJ2" s="329"/>
      <c r="AK2" s="329"/>
      <c r="AL2" s="329"/>
      <c r="AM2" s="330"/>
      <c r="AO2" s="319" t="str">
        <f>Verzie!E13</f>
        <v>vpřed  &gt;&gt;</v>
      </c>
      <c r="AP2" s="320"/>
      <c r="AQ2" s="320"/>
      <c r="AR2" s="32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2.95" customHeight="1">
      <c r="AT3" s="1"/>
      <c r="AU3" s="6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23.1" customHeight="1">
      <c r="A4" s="12"/>
      <c r="B4" s="33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8" t="str">
        <f>Verzie!E16</f>
        <v xml:space="preserve"> Nápověda</v>
      </c>
      <c r="AS4" s="12"/>
      <c r="AT4" s="1"/>
      <c r="AU4" s="6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4.45" customHeight="1"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4.4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4.45" customHeight="1">
      <c r="A7" s="1"/>
      <c r="B7" s="331" t="str">
        <f>Verzie!E140</f>
        <v>Formulář pro identifikační údaje</v>
      </c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1"/>
      <c r="O7" s="1"/>
      <c r="P7" s="1"/>
      <c r="Q7" s="1"/>
      <c r="R7" s="1"/>
      <c r="S7" s="1"/>
      <c r="T7" s="1"/>
      <c r="U7" s="39"/>
      <c r="V7" s="39"/>
      <c r="W7" s="43" t="str">
        <f>Verzie!E16</f>
        <v xml:space="preserve"> Nápověda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4.45" customHeight="1">
      <c r="A8" s="1"/>
      <c r="B8" s="332" t="str">
        <f>Verzie!E116</f>
        <v>Odběratel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1"/>
      <c r="O8" s="1"/>
      <c r="P8" s="1"/>
      <c r="Q8" s="1"/>
      <c r="R8" s="1"/>
      <c r="S8" s="1"/>
      <c r="T8" s="1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4.45" customHeight="1">
      <c r="A9" s="1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1"/>
      <c r="O9" s="1"/>
      <c r="P9" s="1"/>
      <c r="Q9" s="1"/>
      <c r="R9" s="1"/>
      <c r="S9" s="1"/>
      <c r="T9" s="1"/>
      <c r="U9" s="39"/>
      <c r="V9" s="39" t="str">
        <f>"1) "&amp;Verzie!E98</f>
        <v>1) Vyberte požadovaný typ kování (TopLine XL, TopLine L, WingLine L)</v>
      </c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ht="14.45" customHeight="1">
      <c r="A10" s="1"/>
      <c r="B10" s="332" t="str">
        <f>Verzie!E117</f>
        <v>Adresa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1"/>
      <c r="O10" s="1"/>
      <c r="P10" s="1"/>
      <c r="Q10" s="1"/>
      <c r="R10" s="1"/>
      <c r="S10" s="1"/>
      <c r="T10" s="1"/>
      <c r="U10" s="39"/>
      <c r="V10" s="39" t="str">
        <f>"2) "&amp;Verzie!E99</f>
        <v>2) Zadejte vstupní data:</v>
      </c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14.45" customHeight="1">
      <c r="A11" s="1"/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1"/>
      <c r="O11" s="1"/>
      <c r="P11" s="1"/>
      <c r="Q11" s="1"/>
      <c r="R11" s="1"/>
      <c r="S11" s="1"/>
      <c r="T11" s="1"/>
      <c r="U11" s="39"/>
      <c r="V11" s="39"/>
      <c r="W11" s="39" t="str">
        <f>" - "&amp;Verzie!E100</f>
        <v xml:space="preserve"> - rozměry skříňě resp. dveří</v>
      </c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 ht="14.45" customHeight="1">
      <c r="A12" s="1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1"/>
      <c r="O12" s="1"/>
      <c r="P12" s="1"/>
      <c r="Q12" s="1"/>
      <c r="R12" s="1"/>
      <c r="S12" s="1"/>
      <c r="T12" s="1"/>
      <c r="U12" s="39"/>
      <c r="V12" s="39"/>
      <c r="W12" s="39" t="str">
        <f>" - "&amp;Verzie!E101</f>
        <v xml:space="preserve"> - postupně vyberte parametry kování</v>
      </c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ht="14.45" customHeight="1">
      <c r="A13" s="1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1"/>
      <c r="O13" s="1"/>
      <c r="P13" s="1"/>
      <c r="Q13" s="1"/>
      <c r="R13" s="1"/>
      <c r="S13" s="1"/>
      <c r="T13" s="1"/>
      <c r="U13" s="39"/>
      <c r="V13" s="39" t="str">
        <f>"3) "&amp;Verzie!E102</f>
        <v>3) Po ukončení této části se posunutím vpřed</v>
      </c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4.45" customHeight="1">
      <c r="A14" s="1"/>
      <c r="B14" s="332" t="str">
        <f>Verzie!E119</f>
        <v>Dodací adresa</v>
      </c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1"/>
      <c r="O14" s="1"/>
      <c r="P14" s="1"/>
      <c r="Q14" s="1"/>
      <c r="R14" s="1"/>
      <c r="S14" s="1"/>
      <c r="T14" s="1"/>
      <c r="U14" s="39"/>
      <c r="V14" s="39"/>
      <c r="W14" s="39" t="str">
        <f>"   "&amp;Verzie!E103</f>
        <v xml:space="preserve">   dostanete na objednávku kování</v>
      </c>
      <c r="X14" s="39"/>
      <c r="Y14" s="39"/>
      <c r="Z14" s="39"/>
      <c r="AA14" s="43"/>
      <c r="AB14" s="40"/>
      <c r="AC14" s="40"/>
      <c r="AD14" s="39"/>
      <c r="AE14" s="39"/>
      <c r="AF14" s="39"/>
      <c r="AG14" s="39"/>
      <c r="AH14" s="39"/>
      <c r="AI14" s="39"/>
      <c r="AJ14" s="40"/>
      <c r="AK14" s="40"/>
      <c r="AL14" s="39"/>
      <c r="AM14" s="39"/>
      <c r="AN14" s="39"/>
      <c r="AO14" s="39"/>
      <c r="AP14" s="39"/>
      <c r="AQ14" s="39"/>
      <c r="AR14" s="39"/>
      <c r="AS14" s="39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14.45" customHeight="1">
      <c r="A15" s="1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1"/>
      <c r="O15" s="1"/>
      <c r="P15" s="1"/>
      <c r="Q15" s="1"/>
      <c r="R15" s="1"/>
      <c r="S15" s="1"/>
      <c r="T15" s="1"/>
      <c r="U15" s="39"/>
      <c r="V15" s="39" t="str">
        <f>"4) "&amp;Verzie!E104&amp;" "&amp;Verzie!E147&amp;" "&amp;Verzie!E105</f>
        <v>4) Kliknutím na tlačítko VYTVOŘIT  OBJEDNÁVKU se pomocí Makra</v>
      </c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14.45" customHeight="1">
      <c r="A16" s="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1"/>
      <c r="O16" s="1"/>
      <c r="P16" s="1"/>
      <c r="Q16" s="1"/>
      <c r="R16" s="1"/>
      <c r="S16" s="1"/>
      <c r="T16" s="1"/>
      <c r="U16" s="39"/>
      <c r="V16" s="39"/>
      <c r="W16" s="39" t="str">
        <f>"   "&amp;Verzie!E106</f>
        <v xml:space="preserve">   vytvoří samostatný soubor = Objednávka</v>
      </c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14.45" customHeight="1">
      <c r="A17" s="1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1"/>
      <c r="O17" s="1"/>
      <c r="P17" s="1"/>
      <c r="Q17" s="1"/>
      <c r="R17" s="1"/>
      <c r="S17" s="1"/>
      <c r="T17" s="1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14.45" customHeight="1">
      <c r="A18" s="1"/>
      <c r="B18" s="332" t="str">
        <f>Verzie!E120</f>
        <v>IČO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1"/>
      <c r="O18" s="1"/>
      <c r="P18" s="1"/>
      <c r="Q18" s="1"/>
      <c r="R18" s="1"/>
      <c r="S18" s="1"/>
      <c r="T18" s="1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14.45" customHeight="1">
      <c r="A19" s="1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1"/>
      <c r="O19" s="1"/>
      <c r="P19" s="1"/>
      <c r="Q19" s="1"/>
      <c r="R19" s="1"/>
      <c r="S19" s="1"/>
      <c r="T19" s="1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14.45" customHeight="1">
      <c r="A20" s="1"/>
      <c r="B20" s="332" t="str">
        <f>Verzie!E121</f>
        <v>DIČ</v>
      </c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1"/>
      <c r="O20" s="1"/>
      <c r="P20" s="1"/>
      <c r="Q20" s="1"/>
      <c r="R20" s="1"/>
      <c r="S20" s="1"/>
      <c r="T20" s="1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14.45" customHeight="1"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S21" s="7"/>
      <c r="T21" s="1"/>
      <c r="U21" s="39"/>
      <c r="V21" s="39"/>
      <c r="W21" s="39" t="str">
        <f>Verzie!H108</f>
        <v>Pri ukončovaní konfigurátora odporúčame zatvoriť ho bez uloženia.</v>
      </c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1"/>
      <c r="AU21" s="1"/>
      <c r="AV21" s="42"/>
      <c r="AW21" s="42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14.45" customHeight="1">
      <c r="A22" s="1"/>
      <c r="B22" s="332" t="str">
        <f>Verzie!E122</f>
        <v>Telefon, fax, e-mail</v>
      </c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1"/>
      <c r="O22" s="1"/>
      <c r="P22" s="1"/>
      <c r="Q22" s="1"/>
      <c r="R22" s="1"/>
      <c r="S22" s="7"/>
      <c r="T22" s="1"/>
      <c r="U22" s="39"/>
      <c r="V22" s="39" t="str">
        <f>Verzie!E109</f>
        <v>Tím docílíte původní výchozí nastavení, t.j. všechno bude vynulované.</v>
      </c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1"/>
      <c r="AU22" s="42"/>
      <c r="AV22" s="42"/>
      <c r="AW22" s="42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ht="14.45" customHeight="1">
      <c r="A23" s="1"/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1"/>
      <c r="O23" s="1"/>
      <c r="P23" s="1"/>
      <c r="Q23" s="1"/>
      <c r="R23" s="1"/>
      <c r="S23" s="7"/>
      <c r="T23" s="1"/>
      <c r="U23" s="39"/>
      <c r="V23" s="39" t="str">
        <f>Verzie!E110</f>
        <v>V opačném případe musíte použít tlačítko RESET, nebo nulovat ručně.</v>
      </c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1"/>
      <c r="AU23" s="42"/>
      <c r="AV23" s="42"/>
      <c r="AW23" s="42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 ht="14.45" customHeight="1">
      <c r="A24" s="1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1"/>
      <c r="O24" s="1"/>
      <c r="P24" s="1"/>
      <c r="Q24" s="1"/>
      <c r="R24" s="1"/>
      <c r="S24" s="1"/>
      <c r="T24" s="1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1"/>
      <c r="AU24" s="42"/>
      <c r="AV24" s="42"/>
      <c r="AW24" s="42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 ht="14.45" customHeight="1">
      <c r="A25" s="1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1"/>
      <c r="O25" s="1"/>
      <c r="P25" s="1"/>
      <c r="Q25" s="1"/>
      <c r="R25" s="1"/>
      <c r="S25" s="1"/>
      <c r="T25" s="1"/>
      <c r="U25" s="39"/>
      <c r="V25" s="46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1"/>
      <c r="AU25" s="42"/>
      <c r="AV25" s="42"/>
      <c r="AW25" s="42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ht="14.4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9"/>
      <c r="V26" s="318" t="str">
        <f>Verzie!E111</f>
        <v>Autor neposkytuje žádné záruky. Uživatel nemá nárok na náhradu škody, včetne následných škod, ušlého zisku, zvláštních, nepřímých nebo náhodných škod.</v>
      </c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1"/>
      <c r="AU26" s="42"/>
      <c r="AV26" s="42"/>
      <c r="AW26" s="42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ht="14.4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9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14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14.4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7"/>
      <c r="V29" s="7"/>
      <c r="W29" s="39"/>
      <c r="X29" s="7"/>
      <c r="Y29" s="7"/>
      <c r="Z29" s="7"/>
      <c r="AA29" s="9"/>
      <c r="AB29" s="9"/>
      <c r="AC29" s="9"/>
      <c r="AD29" s="9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0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14.4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7"/>
      <c r="V30" s="7"/>
      <c r="W30" s="39"/>
      <c r="X30" s="7"/>
      <c r="Y30" s="7"/>
      <c r="Z30" s="7"/>
      <c r="AA30" s="7"/>
      <c r="AB30" s="7"/>
      <c r="AC30" s="7"/>
      <c r="AD30" s="7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14.4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9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14.4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9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14.4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9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62"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62"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62"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62"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62"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62"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</sheetData>
  <sheetProtection algorithmName="SHA-512" hashValue="TZiC7y5Pbc+ax0tq1/blV7Q6eaUskLHoaS13YIXTcRwZe+lZ2PnNEbuPrVUAE9LLfEchsAfPuC87Nh8mN3/zEQ==" saltValue="iDF8lIlU6MvMZqTulkl2SA==" spinCount="100000" sheet="1" objects="1" scenarios="1"/>
  <mergeCells count="27">
    <mergeCell ref="B25:M25"/>
    <mergeCell ref="B20:M20"/>
    <mergeCell ref="B21:M21"/>
    <mergeCell ref="B22:M22"/>
    <mergeCell ref="B23:M23"/>
    <mergeCell ref="B24:M24"/>
    <mergeCell ref="B15:M15"/>
    <mergeCell ref="B16:M16"/>
    <mergeCell ref="B17:M17"/>
    <mergeCell ref="B18:M18"/>
    <mergeCell ref="B19:M19"/>
    <mergeCell ref="V26:AS27"/>
    <mergeCell ref="AO2:AR2"/>
    <mergeCell ref="B2:E2"/>
    <mergeCell ref="G2:K2"/>
    <mergeCell ref="O2:S2"/>
    <mergeCell ref="U2:Y2"/>
    <mergeCell ref="AA2:AE2"/>
    <mergeCell ref="AI2:AM2"/>
    <mergeCell ref="B7:M7"/>
    <mergeCell ref="B8:M8"/>
    <mergeCell ref="B9:M9"/>
    <mergeCell ref="B10:M10"/>
    <mergeCell ref="B11:M11"/>
    <mergeCell ref="B12:M12"/>
    <mergeCell ref="B13:M13"/>
    <mergeCell ref="B14:M14"/>
  </mergeCells>
  <hyperlinks>
    <hyperlink ref="G2:K2" location="'FORM-I'!A1" display="'FORM-I'!A1" xr:uid="{FFB2A184-C84E-4B37-8407-AAA45D428A42}"/>
    <hyperlink ref="AO2:AR2" location="'FORM-I'!A1" display="'FORM-I'!A1" xr:uid="{86321406-15D3-434B-8BE8-C0B86E51D8CE}"/>
  </hyperlinks>
  <pageMargins left="0.19685039370078741" right="0.19685039370078741" top="0.19685039370078741" bottom="0.19685039370078741" header="0.31496062992125984" footer="0.31496062992125984"/>
  <pageSetup paperSize="9" orientation="landscape" r:id="rId1"/>
  <ignoredErrors>
    <ignoredError sqref="W7 W11:W12 V9:V13 W21 V22:V24 V26 W14 W16 V15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2A01-039E-4FF1-8DFB-E9204686DC35}">
  <sheetPr codeName="List42">
    <tabColor rgb="FFFF0000"/>
  </sheetPr>
  <dimension ref="A1:V1031"/>
  <sheetViews>
    <sheetView showGridLines="0" showRowColHeaders="0" zoomScaleNormal="100" workbookViewId="0"/>
  </sheetViews>
  <sheetFormatPr defaultColWidth="9" defaultRowHeight="13.9"/>
  <cols>
    <col min="1" max="1" width="2" style="11" customWidth="1"/>
    <col min="2" max="2" width="11.25" style="11" bestFit="1" customWidth="1"/>
    <col min="3" max="3" width="60.875" style="11" customWidth="1"/>
    <col min="4" max="4" width="5.125" style="11" bestFit="1" customWidth="1"/>
    <col min="5" max="5" width="2.375" style="11" customWidth="1"/>
    <col min="6" max="6" width="2.25" style="11" customWidth="1"/>
    <col min="7" max="7" width="12" style="11" customWidth="1"/>
    <col min="8" max="8" width="5.5" style="11" customWidth="1"/>
    <col min="9" max="10" width="12" style="11" customWidth="1"/>
    <col min="11" max="11" width="9" style="11"/>
    <col min="12" max="12" width="21.625" style="11" customWidth="1"/>
    <col min="13" max="13" width="9" style="11"/>
    <col min="14" max="14" width="5.375" style="11" hidden="1" customWidth="1"/>
    <col min="15" max="15" width="8.875" style="11" hidden="1" customWidth="1"/>
    <col min="16" max="16" width="12.75" style="11" hidden="1" customWidth="1"/>
    <col min="17" max="17" width="9" style="11" hidden="1" customWidth="1"/>
    <col min="18" max="18" width="36" style="11" hidden="1" customWidth="1"/>
    <col min="19" max="19" width="9" style="11" hidden="1" customWidth="1"/>
    <col min="20" max="20" width="49.625" style="11" hidden="1" customWidth="1"/>
    <col min="21" max="21" width="9" style="11" hidden="1" customWidth="1"/>
    <col min="22" max="22" width="7.5" style="11" hidden="1" customWidth="1"/>
    <col min="23" max="16384" width="9" style="11"/>
  </cols>
  <sheetData>
    <row r="1" spans="1:22" ht="14.45" thickBot="1">
      <c r="B1" s="1"/>
      <c r="C1" s="1"/>
      <c r="D1" s="1"/>
      <c r="E1" s="2"/>
      <c r="F1" s="1"/>
      <c r="G1" s="48"/>
      <c r="H1" s="48"/>
      <c r="I1" s="1"/>
      <c r="J1" s="2"/>
      <c r="N1" s="15"/>
      <c r="O1" s="15"/>
      <c r="P1" s="15"/>
      <c r="Q1" s="15"/>
      <c r="R1" s="15" t="s">
        <v>28</v>
      </c>
      <c r="S1" s="15" t="s">
        <v>29</v>
      </c>
      <c r="T1" s="15" t="s">
        <v>30</v>
      </c>
      <c r="U1" s="15" t="s">
        <v>31</v>
      </c>
      <c r="V1" s="15" t="s">
        <v>32</v>
      </c>
    </row>
    <row r="2" spans="1:22" ht="14.45" thickBot="1">
      <c r="B2" s="1"/>
      <c r="C2" s="1" t="str">
        <f>Verzie!E115</f>
        <v>Prodejce:</v>
      </c>
      <c r="D2" s="1"/>
      <c r="E2" s="2"/>
      <c r="F2" s="1"/>
      <c r="G2" s="48"/>
      <c r="H2" s="48"/>
      <c r="I2" s="1"/>
      <c r="J2" s="49" t="s">
        <v>33</v>
      </c>
      <c r="O2" s="300"/>
      <c r="P2" s="300"/>
      <c r="Q2" s="300"/>
    </row>
    <row r="3" spans="1:22" ht="14.45" thickBot="1">
      <c r="B3" s="1"/>
      <c r="C3" s="50" t="s">
        <v>34</v>
      </c>
      <c r="D3" s="1"/>
      <c r="E3" s="2"/>
      <c r="F3" s="1"/>
      <c r="G3" s="48"/>
      <c r="H3" s="48"/>
      <c r="I3" s="1"/>
      <c r="J3" s="51"/>
    </row>
    <row r="4" spans="1:22" ht="14.45" thickBot="1">
      <c r="B4" s="1"/>
      <c r="C4" s="52" t="s">
        <v>35</v>
      </c>
      <c r="D4" s="1"/>
      <c r="E4" s="2"/>
      <c r="F4" s="1"/>
      <c r="G4" s="48"/>
      <c r="H4" s="48"/>
    </row>
    <row r="5" spans="1:22" ht="14.45" thickBot="1">
      <c r="B5" s="1"/>
      <c r="C5" s="52" t="s">
        <v>36</v>
      </c>
      <c r="D5" s="1"/>
      <c r="E5" s="2"/>
      <c r="F5" s="1"/>
      <c r="G5" s="48"/>
      <c r="H5" s="48"/>
      <c r="I5" s="1"/>
    </row>
    <row r="6" spans="1:22" ht="14.45" thickBot="1">
      <c r="B6" s="1"/>
      <c r="C6" s="52" t="s">
        <v>37</v>
      </c>
      <c r="D6" s="1"/>
      <c r="E6" s="2"/>
      <c r="F6" s="1"/>
      <c r="G6" s="48"/>
      <c r="H6" s="48"/>
      <c r="I6" s="53" t="str">
        <f>Verzie!E137&amp;" : "</f>
        <v xml:space="preserve">Verze  : </v>
      </c>
      <c r="J6" s="54" t="str">
        <f>Verzie!E138</f>
        <v>1.0.3</v>
      </c>
    </row>
    <row r="7" spans="1:22" ht="14.45" thickBot="1">
      <c r="B7" s="1"/>
      <c r="C7" s="52" t="s">
        <v>38</v>
      </c>
      <c r="D7" s="1"/>
      <c r="E7" s="2"/>
      <c r="F7" s="1"/>
      <c r="G7" s="48"/>
      <c r="H7" s="48"/>
      <c r="I7" s="1"/>
      <c r="J7" s="1"/>
    </row>
    <row r="8" spans="1:22" ht="14.45" thickBot="1">
      <c r="B8" s="1"/>
      <c r="C8" s="55" t="s">
        <v>39</v>
      </c>
      <c r="D8" s="1"/>
      <c r="E8" s="2"/>
      <c r="F8" s="1"/>
      <c r="G8" s="48"/>
      <c r="H8" s="48"/>
      <c r="I8" s="53" t="str">
        <f>Verzie!E139&amp;" : "</f>
        <v xml:space="preserve">Platnost cenníku od : </v>
      </c>
      <c r="J8" s="56">
        <v>45597</v>
      </c>
    </row>
    <row r="9" spans="1:22" ht="14.45" thickBot="1">
      <c r="B9" s="1"/>
      <c r="C9" s="1"/>
      <c r="D9" s="1"/>
      <c r="E9" s="2"/>
      <c r="F9" s="1"/>
      <c r="G9" s="57"/>
      <c r="H9" s="57"/>
      <c r="I9" s="1"/>
      <c r="J9" s="1"/>
    </row>
    <row r="10" spans="1:22" ht="25.15" thickBot="1">
      <c r="B10" s="58" t="str">
        <f>Verzie!E127</f>
        <v>Číslo artiklu</v>
      </c>
      <c r="C10" s="59" t="str">
        <f>Verzie!E128</f>
        <v>Název</v>
      </c>
      <c r="D10" s="60" t="str">
        <f>Verzie!E129</f>
        <v>balení</v>
      </c>
      <c r="E10" s="61" t="str">
        <f>Verzie!E129</f>
        <v>balení</v>
      </c>
      <c r="F10" s="60"/>
      <c r="G10" s="62" t="str">
        <f>Verzie!E132</f>
        <v>Jednotková cena</v>
      </c>
      <c r="H10" s="63" t="str">
        <f>IF(Verzie!E1="CZK","CZK","EUR")</f>
        <v>CZK</v>
      </c>
      <c r="I10" s="64" t="str">
        <f>Verzie!E135</f>
        <v>Volné pole</v>
      </c>
      <c r="J10" s="65" t="str">
        <f>Verzie!E136</f>
        <v>Kód prodejce</v>
      </c>
      <c r="L10" s="66" t="str">
        <f>Verzie!E141</f>
        <v>nákupní ceny, tj. ceny se slevou od prodejce</v>
      </c>
      <c r="R10" s="315" t="s">
        <v>40</v>
      </c>
      <c r="S10" s="315" t="s">
        <v>41</v>
      </c>
      <c r="T10" s="315"/>
      <c r="U10" s="315" t="s">
        <v>42</v>
      </c>
    </row>
    <row r="11" spans="1:22">
      <c r="A11" s="67"/>
      <c r="B11" s="68">
        <v>9339352</v>
      </c>
      <c r="C11" s="69" t="str">
        <f>IF(Verzie!$E$1="CZK",R11,IF(Verzie!$E$1="SK",T11,IF(Verzie!$E$1="HU",V11,"")))</f>
        <v>WINGLINE L NEW DO 25 KG, SE ZAVÍRACÍMI PRUŽINAMI, S DOLNÍM VEDENÍM, SADA LEVÁ ŠEDÁ</v>
      </c>
      <c r="D11" s="70">
        <v>1</v>
      </c>
      <c r="E11" s="71" t="s">
        <v>27</v>
      </c>
      <c r="F11" s="72"/>
      <c r="G11" s="73">
        <f>IF(Verzie!$E$1="CZK",S11,IF(OR(Verzie!$E$1="SK",Verzie!$E$1="HU"),U11,""))</f>
        <v>518.96180000000004</v>
      </c>
      <c r="H11" s="74" t="str">
        <f>IF(G11="","",$H$10)</f>
        <v>CZK</v>
      </c>
      <c r="I11" s="83" t="s">
        <v>27</v>
      </c>
      <c r="J11" s="84" t="s">
        <v>27</v>
      </c>
      <c r="L11" s="75">
        <f>G11*(1-'FORM-I'!$V$22/100)</f>
        <v>518.96180000000004</v>
      </c>
      <c r="O11" s="300" t="e">
        <f>IF(AND('DATA-WL2'!$AV$22="bez",'DATA-WL1'!$AV$38="TAZ",'DATA-WL1'!$AV$50="S",OR('DATA-WL1'!$AV$34="L",'DATA-WL1'!$AV$34=4),'DATA-WL1'!$AW$44=0),1,"")</f>
        <v>#VALUE!</v>
      </c>
      <c r="R11" s="11" t="s">
        <v>43</v>
      </c>
      <c r="S11" s="11">
        <v>518.96180000000004</v>
      </c>
      <c r="T11" s="11" t="s">
        <v>44</v>
      </c>
      <c r="U11" s="11">
        <v>20.758499999999998</v>
      </c>
    </row>
    <row r="12" spans="1:22">
      <c r="A12" s="102"/>
      <c r="B12" s="76">
        <v>9339354</v>
      </c>
      <c r="C12" s="77" t="str">
        <f>IF(Verzie!$E$1="CZK",R12,IF(Verzie!$E$1="SK",T12,IF(Verzie!$E$1="HU",V12,"")))</f>
        <v>WINGLINE L NEW DO 25 KG, SE ZAVÍRACÍMI PRUŽINAMI, S DOLNÍM VEDENÍM, SADA LEVÁ BÍLÁ</v>
      </c>
      <c r="D12" s="78">
        <v>1</v>
      </c>
      <c r="E12" s="79" t="s">
        <v>27</v>
      </c>
      <c r="F12" s="80"/>
      <c r="G12" s="81">
        <f>IF(Verzie!$E$1="CZK",S12,IF(OR(Verzie!$E$1="SK",Verzie!$E$1="HU"),U12,""))</f>
        <v>570.85529999999994</v>
      </c>
      <c r="H12" s="82" t="str">
        <f t="shared" ref="H12:H75" si="0">IF(G12="","",$H$10)</f>
        <v>CZK</v>
      </c>
      <c r="I12" s="83" t="s">
        <v>27</v>
      </c>
      <c r="J12" s="84" t="s">
        <v>27</v>
      </c>
      <c r="L12" s="75">
        <f>G12*(1-'FORM-I'!$V$22/100)</f>
        <v>570.85529999999994</v>
      </c>
      <c r="N12" s="11" t="e">
        <f>VLOOKUP(B12,$B$11:B11,1,FALSE)</f>
        <v>#N/A</v>
      </c>
      <c r="O12" s="300" t="e">
        <f>IF(AND('DATA-WL2'!$AV$22="bez",'DATA-WL1'!$AV$38="TAZ",'DATA-WL1'!$AV$50="B",OR('DATA-WL1'!$AV$34="L",'DATA-WL1'!$AV$34=4),'DATA-WL1'!$AW$44=0),1,"")</f>
        <v>#VALUE!</v>
      </c>
      <c r="R12" s="11" t="s">
        <v>45</v>
      </c>
      <c r="S12" s="11">
        <v>570.85529999999994</v>
      </c>
      <c r="T12" s="11" t="s">
        <v>46</v>
      </c>
      <c r="U12" s="11">
        <v>22.834199999999999</v>
      </c>
    </row>
    <row r="13" spans="1:22">
      <c r="A13" s="112"/>
      <c r="B13" s="85">
        <v>9339356</v>
      </c>
      <c r="C13" s="86" t="str">
        <f>IF(Verzie!$E$1="CZK",R13,IF(Verzie!$E$1="SK",T13,IF(Verzie!$E$1="HU",V13,"")))</f>
        <v>WINGLINE L NEW DO 25 KG, SE ZAVÍRACÍMI PRUŽINAMI, S DOLNÍM VEDENÍM, SADA LEVÁ ANTRACIT</v>
      </c>
      <c r="D13" s="87">
        <v>1</v>
      </c>
      <c r="E13" s="79" t="s">
        <v>27</v>
      </c>
      <c r="F13" s="89"/>
      <c r="G13" s="90">
        <f>IF(Verzie!$E$1="CZK",S13,IF(OR(Verzie!$E$1="SK",Verzie!$E$1="HU"),U13,""))</f>
        <v>570.85529999999994</v>
      </c>
      <c r="H13" s="91" t="str">
        <f t="shared" si="0"/>
        <v>CZK</v>
      </c>
      <c r="I13" s="92" t="s">
        <v>27</v>
      </c>
      <c r="J13" s="84" t="s">
        <v>27</v>
      </c>
      <c r="L13" s="75">
        <f>G13*(1-'FORM-I'!$V$22/100)</f>
        <v>570.85529999999994</v>
      </c>
      <c r="N13" s="11" t="e">
        <f>VLOOKUP(B13,$B$11:B12,1,FALSE)</f>
        <v>#N/A</v>
      </c>
      <c r="O13" s="300" t="e">
        <f>IF(AND('DATA-WL2'!$AV$22="bez",'DATA-WL1'!$AV$38="TAZ",'DATA-WL1'!$AV$50="A",OR('DATA-WL1'!$AV$34="L",'DATA-WL1'!$AV$34=4),'DATA-WL1'!$AW$44=0),1,"")</f>
        <v>#VALUE!</v>
      </c>
      <c r="R13" s="11" t="s">
        <v>47</v>
      </c>
      <c r="S13" s="11">
        <v>570.85529999999994</v>
      </c>
      <c r="T13" s="11" t="s">
        <v>48</v>
      </c>
      <c r="U13" s="11">
        <v>22.834199999999999</v>
      </c>
    </row>
    <row r="14" spans="1:22">
      <c r="A14" s="67"/>
      <c r="B14" s="85">
        <v>9339357</v>
      </c>
      <c r="C14" s="86" t="str">
        <f>IF(Verzie!$E$1="CZK",R14,IF(Verzie!$E$1="SK",T14,IF(Verzie!$E$1="HU",V14,"")))</f>
        <v>WINGLINE L NEW DO 25 KG, BEZ ZAVÍRACÍCH PRUŽIN, S DOLNÍM VEDENÍM, SADA LEVÁ ŠEDÁ</v>
      </c>
      <c r="D14" s="87">
        <v>1</v>
      </c>
      <c r="E14" s="79" t="s">
        <v>27</v>
      </c>
      <c r="F14" s="89"/>
      <c r="G14" s="90">
        <f>IF(Verzie!$E$1="CZK",S14,IF(OR(Verzie!$E$1="SK",Verzie!$E$1="HU"),U14,""))</f>
        <v>518.96180000000004</v>
      </c>
      <c r="H14" s="91" t="str">
        <f t="shared" si="0"/>
        <v>CZK</v>
      </c>
      <c r="I14" s="210" t="s">
        <v>27</v>
      </c>
      <c r="J14" s="84" t="s">
        <v>27</v>
      </c>
      <c r="L14" s="75">
        <f>G14*(1-'FORM-I'!$V$22/100)</f>
        <v>518.96180000000004</v>
      </c>
      <c r="N14" s="11" t="e">
        <f>VLOOKUP(B14,$B$11:B13,1,FALSE)</f>
        <v>#N/A</v>
      </c>
      <c r="O14" s="300" t="e">
        <f>IF(AND(OR('DATA-WL2'!$AV$22="P2O",'DATA-WL2'!$AV$22="PUL",'DATA-WL2'!$AV$22="SIS"),'DATA-WL1'!$AV$38="TAZ",'DATA-WL1'!$AV$50="S",OR('DATA-WL1'!$AV$34="L",'DATA-WL1'!$AV$34=4),'DATA-WL1'!$AW$44=0),1,"")</f>
        <v>#VALUE!</v>
      </c>
      <c r="R14" s="11" t="s">
        <v>49</v>
      </c>
      <c r="S14" s="11">
        <v>518.96180000000004</v>
      </c>
      <c r="T14" s="11" t="s">
        <v>50</v>
      </c>
      <c r="U14" s="11">
        <v>20.758499999999998</v>
      </c>
    </row>
    <row r="15" spans="1:22">
      <c r="A15" s="102"/>
      <c r="B15" s="85">
        <v>9339363</v>
      </c>
      <c r="C15" s="86" t="str">
        <f>IF(Verzie!$E$1="CZK",R15,IF(Verzie!$E$1="SK",T15,IF(Verzie!$E$1="HU",V15,"")))</f>
        <v>WINGLINE L NEW DO 25 KG, BEZ ZAVÍRACÍCH PRUŽIN, S DOLNÍM VEDENÍM, SADA LEVÁ BÍLÁ</v>
      </c>
      <c r="D15" s="87">
        <v>1</v>
      </c>
      <c r="E15" s="79" t="s">
        <v>27</v>
      </c>
      <c r="F15" s="89"/>
      <c r="G15" s="90">
        <f>IF(Verzie!$E$1="CZK",S15,IF(OR(Verzie!$E$1="SK",Verzie!$E$1="HU"),U15,""))</f>
        <v>570.85529999999994</v>
      </c>
      <c r="H15" s="91" t="str">
        <f t="shared" si="0"/>
        <v>CZK</v>
      </c>
      <c r="I15" s="210" t="s">
        <v>27</v>
      </c>
      <c r="J15" s="84" t="s">
        <v>27</v>
      </c>
      <c r="L15" s="75">
        <f>G15*(1-'FORM-I'!$V$22/100)</f>
        <v>570.85529999999994</v>
      </c>
      <c r="N15" s="11" t="e">
        <f>VLOOKUP(B15,$B$11:B14,1,FALSE)</f>
        <v>#N/A</v>
      </c>
      <c r="O15" s="300" t="e">
        <f>IF(AND(OR('DATA-WL2'!$AV$22="P2O",'DATA-WL2'!$AV$22="PUL",'DATA-WL2'!$AV$22="SIS"),'DATA-WL1'!$AV$38="TAZ",'DATA-WL1'!$AV$50="B",OR('DATA-WL1'!$AV$34="L",'DATA-WL1'!$AV$34=4),'DATA-WL1'!$AW$44=0),1,"")</f>
        <v>#VALUE!</v>
      </c>
      <c r="R15" s="11" t="s">
        <v>51</v>
      </c>
      <c r="S15" s="11">
        <v>570.85529999999994</v>
      </c>
      <c r="T15" s="11" t="s">
        <v>52</v>
      </c>
      <c r="U15" s="11">
        <v>22.834199999999999</v>
      </c>
    </row>
    <row r="16" spans="1:22">
      <c r="A16" s="112"/>
      <c r="B16" s="85">
        <v>9339364</v>
      </c>
      <c r="C16" s="86" t="str">
        <f>IF(Verzie!$E$1="CZK",R16,IF(Verzie!$E$1="SK",T16,IF(Verzie!$E$1="HU",V16,"")))</f>
        <v>WINGLINE L NEW DO 25 KG, BEZ ZAVÍRACÍCH PRUŽIN, S DOLNÍM VEDENÍM, SADA LEVÁ ANTRACIT</v>
      </c>
      <c r="D16" s="87">
        <v>1</v>
      </c>
      <c r="E16" s="79" t="s">
        <v>27</v>
      </c>
      <c r="F16" s="89"/>
      <c r="G16" s="90">
        <f>IF(Verzie!$E$1="CZK",S16,IF(OR(Verzie!$E$1="SK",Verzie!$E$1="HU"),U16,""))</f>
        <v>570.85529999999994</v>
      </c>
      <c r="H16" s="91" t="str">
        <f t="shared" si="0"/>
        <v>CZK</v>
      </c>
      <c r="I16" s="92" t="s">
        <v>27</v>
      </c>
      <c r="J16" s="84" t="s">
        <v>27</v>
      </c>
      <c r="L16" s="75">
        <f>G16*(1-'FORM-I'!$V$22/100)</f>
        <v>570.85529999999994</v>
      </c>
      <c r="N16" s="11" t="e">
        <f>VLOOKUP(B16,$B$11:B15,1,FALSE)</f>
        <v>#N/A</v>
      </c>
      <c r="O16" s="300" t="e">
        <f>IF(AND(OR('DATA-WL2'!$AV$22="P2O",'DATA-WL2'!$AV$22="PUL",'DATA-WL2'!$AV$22="SIS"),'DATA-WL1'!$AV$38="TAZ",'DATA-WL1'!$AV$50="A",OR('DATA-WL1'!$AV$34="L",'DATA-WL1'!$AV$34=4),'DATA-WL1'!$AW$44=0),1,"")</f>
        <v>#VALUE!</v>
      </c>
      <c r="R16" s="11" t="s">
        <v>53</v>
      </c>
      <c r="S16" s="11">
        <v>570.85529999999994</v>
      </c>
      <c r="T16" s="11" t="s">
        <v>54</v>
      </c>
      <c r="U16" s="11">
        <v>22.834199999999999</v>
      </c>
    </row>
    <row r="17" spans="1:21">
      <c r="A17" s="67"/>
      <c r="B17" s="85">
        <v>9339344</v>
      </c>
      <c r="C17" s="86" t="str">
        <f>IF(Verzie!$E$1="CZK",R17,IF(Verzie!$E$1="SK",T17,IF(Verzie!$E$1="HU",V17,"")))</f>
        <v>WINGLINE L NEW DO 25 KG, SE ZAVÍRACÍMI PRUŽINAMI, S DOLNÍM VEDENÍM, SADA PRAVÁ ŠEDÁ</v>
      </c>
      <c r="D17" s="87">
        <v>1</v>
      </c>
      <c r="E17" s="79" t="s">
        <v>27</v>
      </c>
      <c r="F17" s="89"/>
      <c r="G17" s="90">
        <f>IF(Verzie!$E$1="CZK",S17,IF(OR(Verzie!$E$1="SK",Verzie!$E$1="HU"),U17,""))</f>
        <v>518.96180000000004</v>
      </c>
      <c r="H17" s="91" t="str">
        <f t="shared" si="0"/>
        <v>CZK</v>
      </c>
      <c r="I17" s="92" t="s">
        <v>27</v>
      </c>
      <c r="J17" s="84" t="s">
        <v>27</v>
      </c>
      <c r="L17" s="75">
        <f>G17*(1-'FORM-I'!$V$22/100)</f>
        <v>518.96180000000004</v>
      </c>
      <c r="N17" s="11" t="e">
        <f>VLOOKUP(B17,$B$11:B16,1,FALSE)</f>
        <v>#N/A</v>
      </c>
      <c r="O17" s="300" t="e">
        <f>IF(AND('DATA-WL2'!$AV$22="bez",'DATA-WL1'!$AV$38="TAZ",'DATA-WL1'!$AV$50="S",OR('DATA-WL1'!$AV$34="P",'DATA-WL1'!$AV$34=4),'DATA-WL1'!$AW$44=0),1,"")</f>
        <v>#VALUE!</v>
      </c>
      <c r="R17" s="11" t="s">
        <v>55</v>
      </c>
      <c r="S17" s="11">
        <v>518.96180000000004</v>
      </c>
      <c r="T17" s="11" t="s">
        <v>56</v>
      </c>
      <c r="U17" s="11">
        <v>20.758499999999998</v>
      </c>
    </row>
    <row r="18" spans="1:21">
      <c r="A18" s="102"/>
      <c r="B18" s="85">
        <v>9339346</v>
      </c>
      <c r="C18" s="86" t="str">
        <f>IF(Verzie!$E$1="CZK",R18,IF(Verzie!$E$1="SK",T18,IF(Verzie!$E$1="HU",V18,"")))</f>
        <v>WINGLINE L NEW DO 25 KG, SE ZAVÍRACÍMI PRUŽINAMI, S DOLNÍM VEDENÍM, SADA PRAVÁ BÍLÁ</v>
      </c>
      <c r="D18" s="87">
        <v>1</v>
      </c>
      <c r="E18" s="79" t="s">
        <v>27</v>
      </c>
      <c r="F18" s="89"/>
      <c r="G18" s="90">
        <f>IF(Verzie!$E$1="CZK",S18,IF(OR(Verzie!$E$1="SK",Verzie!$E$1="HU"),U18,""))</f>
        <v>570.85529999999994</v>
      </c>
      <c r="H18" s="91" t="str">
        <f t="shared" si="0"/>
        <v>CZK</v>
      </c>
      <c r="I18" s="210" t="s">
        <v>27</v>
      </c>
      <c r="J18" s="84" t="s">
        <v>27</v>
      </c>
      <c r="L18" s="75">
        <f>G18*(1-'FORM-I'!$V$22/100)</f>
        <v>570.85529999999994</v>
      </c>
      <c r="N18" s="11" t="e">
        <f>VLOOKUP(B18,$B$11:B17,1,FALSE)</f>
        <v>#N/A</v>
      </c>
      <c r="O18" s="300" t="e">
        <f>IF(AND('DATA-WL2'!$AV$22="bez",'DATA-WL1'!$AV$38="TAZ",'DATA-WL1'!$AV$50="B",OR('DATA-WL1'!$AV$34="P",'DATA-WL1'!$AV$34=4),'DATA-WL1'!$AW$44=0),1,"")</f>
        <v>#VALUE!</v>
      </c>
      <c r="R18" s="11" t="s">
        <v>57</v>
      </c>
      <c r="S18" s="11">
        <v>570.85529999999994</v>
      </c>
      <c r="T18" s="11" t="s">
        <v>58</v>
      </c>
      <c r="U18" s="11">
        <v>22.834199999999999</v>
      </c>
    </row>
    <row r="19" spans="1:21">
      <c r="A19" s="112"/>
      <c r="B19" s="85">
        <v>9339347</v>
      </c>
      <c r="C19" s="86" t="str">
        <f>IF(Verzie!$E$1="CZK",R19,IF(Verzie!$E$1="SK",T19,IF(Verzie!$E$1="HU",V19,"")))</f>
        <v>WINGLINE L NEW DO 25 KG, SE ZAVÍRACÍMI PRUŽINAMI, S DOLNÍM VEDENÍM, SADA PRAVÁ ANTRACIT</v>
      </c>
      <c r="D19" s="87">
        <v>1</v>
      </c>
      <c r="E19" s="79" t="s">
        <v>27</v>
      </c>
      <c r="F19" s="89"/>
      <c r="G19" s="90">
        <f>IF(Verzie!$E$1="CZK",S19,IF(OR(Verzie!$E$1="SK",Verzie!$E$1="HU"),U19,""))</f>
        <v>570.85529999999994</v>
      </c>
      <c r="H19" s="91" t="str">
        <f t="shared" si="0"/>
        <v>CZK</v>
      </c>
      <c r="I19" s="210" t="s">
        <v>27</v>
      </c>
      <c r="J19" s="84" t="s">
        <v>27</v>
      </c>
      <c r="L19" s="75">
        <f>G19*(1-'FORM-I'!$V$22/100)</f>
        <v>570.85529999999994</v>
      </c>
      <c r="N19" s="11" t="e">
        <f>VLOOKUP(B19,$B$11:B18,1,FALSE)</f>
        <v>#N/A</v>
      </c>
      <c r="O19" s="300" t="e">
        <f>IF(AND('DATA-WL2'!$AV$22="bez",'DATA-WL1'!$AV$38="TAZ",'DATA-WL1'!$AV$50="A",OR('DATA-WL1'!$AV$34="P",'DATA-WL1'!$AV$34=4),'DATA-WL1'!$AW$44=0),1,"")</f>
        <v>#VALUE!</v>
      </c>
      <c r="R19" s="11" t="s">
        <v>59</v>
      </c>
      <c r="S19" s="11">
        <v>570.85529999999994</v>
      </c>
      <c r="T19" s="11" t="s">
        <v>60</v>
      </c>
      <c r="U19" s="11">
        <v>22.834199999999999</v>
      </c>
    </row>
    <row r="20" spans="1:21">
      <c r="A20" s="67"/>
      <c r="B20" s="85">
        <v>9339348</v>
      </c>
      <c r="C20" s="86" t="str">
        <f>IF(Verzie!$E$1="CZK",R20,IF(Verzie!$E$1="SK",T20,IF(Verzie!$E$1="HU",V20,"")))</f>
        <v>WINGLINE L NEW DO 25 KG, BEZ ZAVÍRACÍCH PRUŽIN, S DOLNÍM VEDENÍM, SADA PRAVÁ ŠEDÁ</v>
      </c>
      <c r="D20" s="87">
        <v>1</v>
      </c>
      <c r="E20" s="79" t="s">
        <v>27</v>
      </c>
      <c r="F20" s="89"/>
      <c r="G20" s="90">
        <f>IF(Verzie!$E$1="CZK",S20,IF(OR(Verzie!$E$1="SK",Verzie!$E$1="HU"),U20,""))</f>
        <v>518.96180000000004</v>
      </c>
      <c r="H20" s="91" t="str">
        <f t="shared" si="0"/>
        <v>CZK</v>
      </c>
      <c r="I20" s="210" t="s">
        <v>27</v>
      </c>
      <c r="J20" s="84" t="s">
        <v>27</v>
      </c>
      <c r="L20" s="75">
        <f>G20*(1-'FORM-I'!$V$22/100)</f>
        <v>518.96180000000004</v>
      </c>
      <c r="N20" s="11" t="e">
        <f>VLOOKUP(B20,$B$11:B19,1,FALSE)</f>
        <v>#N/A</v>
      </c>
      <c r="O20" s="300" t="e">
        <f>IF(AND(OR('DATA-WL2'!$AV$22="P2O",'DATA-WL2'!$AV$22="PUL",'DATA-WL2'!$AV$22="SIS"),'DATA-WL1'!$AV$38="TAZ",'DATA-WL1'!$AV$50="S",OR('DATA-WL1'!$AV$34="P",'DATA-WL1'!$AV$34=4),'DATA-WL1'!$AW$44=0),1,"")</f>
        <v>#VALUE!</v>
      </c>
      <c r="R20" s="11" t="s">
        <v>61</v>
      </c>
      <c r="S20" s="11">
        <v>518.96180000000004</v>
      </c>
      <c r="T20" s="11" t="s">
        <v>62</v>
      </c>
      <c r="U20" s="11">
        <v>20.758499999999998</v>
      </c>
    </row>
    <row r="21" spans="1:21">
      <c r="A21" s="102"/>
      <c r="B21" s="85">
        <v>9339349</v>
      </c>
      <c r="C21" s="86" t="str">
        <f>IF(Verzie!$E$1="CZK",R21,IF(Verzie!$E$1="SK",T21,IF(Verzie!$E$1="HU",V21,"")))</f>
        <v>WINGLINE L NEW DO 25 KG, BEZ ZAVÍRACÍCH PRUŽIN, S DOLNÍM VEDENÍM, SADA PRAVÁ BÍLÁ</v>
      </c>
      <c r="D21" s="87">
        <v>1</v>
      </c>
      <c r="E21" s="79" t="s">
        <v>27</v>
      </c>
      <c r="F21" s="89"/>
      <c r="G21" s="90">
        <f>IF(Verzie!$E$1="CZK",S21,IF(OR(Verzie!$E$1="SK",Verzie!$E$1="HU"),U21,""))</f>
        <v>570.85529999999994</v>
      </c>
      <c r="H21" s="91" t="str">
        <f t="shared" si="0"/>
        <v>CZK</v>
      </c>
      <c r="I21" s="210" t="s">
        <v>27</v>
      </c>
      <c r="J21" s="84" t="s">
        <v>27</v>
      </c>
      <c r="L21" s="75">
        <f>G21*(1-'FORM-I'!$V$22/100)</f>
        <v>570.85529999999994</v>
      </c>
      <c r="N21" s="11" t="e">
        <f>VLOOKUP(B21,$B$11:B20,1,FALSE)</f>
        <v>#N/A</v>
      </c>
      <c r="O21" s="300" t="e">
        <f>IF(AND(OR('DATA-WL2'!$AV$22="P2O",'DATA-WL2'!$AV$22="PUL",'DATA-WL2'!$AV$22="SIS"),'DATA-WL1'!$AV$38="TAZ",'DATA-WL1'!$AV$50="B",OR('DATA-WL1'!$AV$34="P",'DATA-WL1'!$AV$34=4),'DATA-WL1'!$AW$44=0),1,"")</f>
        <v>#VALUE!</v>
      </c>
      <c r="R21" s="11" t="s">
        <v>63</v>
      </c>
      <c r="S21" s="11">
        <v>570.85529999999994</v>
      </c>
      <c r="T21" s="11" t="s">
        <v>64</v>
      </c>
      <c r="U21" s="11">
        <v>22.834199999999999</v>
      </c>
    </row>
    <row r="22" spans="1:21">
      <c r="A22" s="112"/>
      <c r="B22" s="93">
        <v>9339350</v>
      </c>
      <c r="C22" s="94" t="str">
        <f>IF(Verzie!$E$1="CZK",R22,IF(Verzie!$E$1="SK",T22,IF(Verzie!$E$1="HU",V22,"")))</f>
        <v>WINGLINE L NEW DO 25 KG, BEZ ZAVÍRACÍCH PRUŽIN, S DOLNÍM VEDENÍM, SADA PRAVÁ ANTRACIT</v>
      </c>
      <c r="D22" s="95">
        <v>1</v>
      </c>
      <c r="E22" s="96" t="s">
        <v>27</v>
      </c>
      <c r="F22" s="97"/>
      <c r="G22" s="98">
        <f>IF(Verzie!$E$1="CZK",S22,IF(OR(Verzie!$E$1="SK",Verzie!$E$1="HU"),U22,""))</f>
        <v>570.85529999999994</v>
      </c>
      <c r="H22" s="99" t="str">
        <f t="shared" si="0"/>
        <v>CZK</v>
      </c>
      <c r="I22" s="100" t="s">
        <v>27</v>
      </c>
      <c r="J22" s="101" t="s">
        <v>27</v>
      </c>
      <c r="L22" s="75">
        <f>G22*(1-'FORM-I'!$V$22/100)</f>
        <v>570.85529999999994</v>
      </c>
      <c r="N22" s="11" t="e">
        <f>VLOOKUP(B22,$B$11:B21,1,FALSE)</f>
        <v>#N/A</v>
      </c>
      <c r="O22" s="300" t="e">
        <f>IF(AND(OR('DATA-WL2'!$AV$22="P2O",'DATA-WL2'!$AV$22="PUL",'DATA-WL2'!$AV$22="SIS"),'DATA-WL1'!$AV$38="TAZ",'DATA-WL1'!$AV$50="A",OR('DATA-WL1'!$AV$34="P",'DATA-WL1'!$AV$34=4),'DATA-WL1'!$AW$44=0),1,"")</f>
        <v>#VALUE!</v>
      </c>
      <c r="R22" s="11" t="s">
        <v>65</v>
      </c>
      <c r="S22" s="11">
        <v>570.85529999999994</v>
      </c>
      <c r="T22" s="11" t="s">
        <v>66</v>
      </c>
      <c r="U22" s="11">
        <v>22.834199999999999</v>
      </c>
    </row>
    <row r="23" spans="1:21">
      <c r="A23" s="67"/>
      <c r="B23" s="85">
        <v>9339382</v>
      </c>
      <c r="C23" s="86" t="str">
        <f>IF(Verzie!$E$1="CZK",R23,IF(Verzie!$E$1="SK",T23,IF(Verzie!$E$1="HU",V23,"")))</f>
        <v>WINGLINE L NEW DO 12 KG, SE ZAVÍRACÍMI PRUŽINAMI, S DOLNÍM VEDENÍM, SADA LEVÁ ŠEDÁ</v>
      </c>
      <c r="D23" s="87">
        <v>1</v>
      </c>
      <c r="E23" s="88" t="s">
        <v>27</v>
      </c>
      <c r="F23" s="89"/>
      <c r="G23" s="90">
        <f>IF(Verzie!$E$1="CZK",S23,IF(OR(Verzie!$E$1="SK",Verzie!$E$1="HU"),U23,""))</f>
        <v>464.53089999999997</v>
      </c>
      <c r="H23" s="91" t="str">
        <f t="shared" si="0"/>
        <v>CZK</v>
      </c>
      <c r="I23" s="210" t="s">
        <v>27</v>
      </c>
      <c r="J23" s="211" t="s">
        <v>27</v>
      </c>
      <c r="L23" s="75">
        <f>G23*(1-'FORM-I'!$V$22/100)</f>
        <v>464.53089999999997</v>
      </c>
      <c r="N23" s="11" t="e">
        <f>VLOOKUP(B23,$B$11:B22,1,FALSE)</f>
        <v>#N/A</v>
      </c>
      <c r="O23" s="300" t="e">
        <f>IF(AND('DATA-WL2'!$AV$22="bez",'DATA-WL1'!$AV$38="LAH",'DATA-WL1'!$AV$50="S",OR('DATA-WL1'!$AV$34="L",'DATA-WL1'!$AV$34=4),'DATA-WL1'!$AW$44=0),1,"")</f>
        <v>#VALUE!</v>
      </c>
      <c r="R23" s="11" t="s">
        <v>67</v>
      </c>
      <c r="S23" s="11">
        <v>464.53089999999997</v>
      </c>
      <c r="T23" s="11" t="s">
        <v>68</v>
      </c>
      <c r="U23" s="11">
        <v>18.581199999999999</v>
      </c>
    </row>
    <row r="24" spans="1:21">
      <c r="A24" s="102"/>
      <c r="B24" s="85">
        <v>9339383</v>
      </c>
      <c r="C24" s="86" t="str">
        <f>IF(Verzie!$E$1="CZK",R24,IF(Verzie!$E$1="SK",T24,IF(Verzie!$E$1="HU",V24,"")))</f>
        <v>WINGLINE L NEW DO 12 KG, SE ZAVÍRACÍMI PRUŽINAMI, S DOLNÍM VEDENÍM, SADA LEVÁ BÍLÁ</v>
      </c>
      <c r="D24" s="87">
        <v>1</v>
      </c>
      <c r="E24" s="88" t="s">
        <v>27</v>
      </c>
      <c r="F24" s="89"/>
      <c r="G24" s="90">
        <f>IF(Verzie!$E$1="CZK",S24,IF(OR(Verzie!$E$1="SK",Verzie!$E$1="HU"),U24,""))</f>
        <v>510.98050000000001</v>
      </c>
      <c r="H24" s="91" t="str">
        <f t="shared" si="0"/>
        <v>CZK</v>
      </c>
      <c r="I24" s="210" t="s">
        <v>27</v>
      </c>
      <c r="J24" s="211" t="s">
        <v>27</v>
      </c>
      <c r="L24" s="75">
        <f>G24*(1-'FORM-I'!$V$22/100)</f>
        <v>510.98050000000001</v>
      </c>
      <c r="N24" s="11" t="e">
        <f>VLOOKUP(B24,$B$11:B23,1,FALSE)</f>
        <v>#N/A</v>
      </c>
      <c r="O24" s="300" t="e">
        <f>IF(AND('DATA-WL2'!$AV$22="bez",'DATA-WL1'!$AV$38="LAH",'DATA-WL1'!$AV$50="B",OR('DATA-WL1'!$AV$34="L",'DATA-WL1'!$AV$34=4),'DATA-WL1'!$AW$44=0),1,"")</f>
        <v>#VALUE!</v>
      </c>
      <c r="R24" s="11" t="s">
        <v>69</v>
      </c>
      <c r="S24" s="11">
        <v>510.98050000000001</v>
      </c>
      <c r="T24" s="11" t="s">
        <v>70</v>
      </c>
      <c r="U24" s="11">
        <v>20.4392</v>
      </c>
    </row>
    <row r="25" spans="1:21">
      <c r="A25" s="112"/>
      <c r="B25" s="85">
        <v>9339384</v>
      </c>
      <c r="C25" s="86" t="str">
        <f>IF(Verzie!$E$1="CZK",R25,IF(Verzie!$E$1="SK",T25,IF(Verzie!$E$1="HU",V25,"")))</f>
        <v>WINGLINE L NEW DO 12 KG, SE ZAVÍRACÍMI PRUŽINAMI, S DOLNÍM VEDENÍM, SADA LEVÁ ANTRACIT</v>
      </c>
      <c r="D25" s="87">
        <v>1</v>
      </c>
      <c r="E25" s="88" t="s">
        <v>27</v>
      </c>
      <c r="F25" s="89"/>
      <c r="G25" s="90">
        <f>IF(Verzie!$E$1="CZK",S25,IF(OR(Verzie!$E$1="SK",Verzie!$E$1="HU"),U25,""))</f>
        <v>510.98050000000001</v>
      </c>
      <c r="H25" s="91" t="str">
        <f t="shared" si="0"/>
        <v>CZK</v>
      </c>
      <c r="I25" s="210" t="s">
        <v>27</v>
      </c>
      <c r="J25" s="211" t="s">
        <v>27</v>
      </c>
      <c r="L25" s="75">
        <f>G25*(1-'FORM-I'!$V$22/100)</f>
        <v>510.98050000000001</v>
      </c>
      <c r="N25" s="11" t="e">
        <f>VLOOKUP(B25,$B$11:B24,1,FALSE)</f>
        <v>#N/A</v>
      </c>
      <c r="O25" s="300" t="e">
        <f>IF(AND('DATA-WL2'!$AV$22="bez",'DATA-WL1'!$AV$38="LAH",'DATA-WL1'!$AV$50="A",OR('DATA-WL1'!$AV$34="L",'DATA-WL1'!$AV$34=4),'DATA-WL1'!$AW$44=0),1,"")</f>
        <v>#VALUE!</v>
      </c>
      <c r="R25" s="11" t="s">
        <v>71</v>
      </c>
      <c r="S25" s="11">
        <v>510.98050000000001</v>
      </c>
      <c r="T25" s="11" t="s">
        <v>72</v>
      </c>
      <c r="U25" s="11">
        <v>20.4392</v>
      </c>
    </row>
    <row r="26" spans="1:21">
      <c r="A26" s="67"/>
      <c r="B26" s="85">
        <v>9339386</v>
      </c>
      <c r="C26" s="86" t="str">
        <f>IF(Verzie!$E$1="CZK",R26,IF(Verzie!$E$1="SK",T26,IF(Verzie!$E$1="HU",V26,"")))</f>
        <v>WINGLINE L NEW DO 12 KG, BEZ ZAVÍRACÍCH PRUŽIN, S DOLNÍM VEDENÍM, SADA LEVÁ ŠEDÁ</v>
      </c>
      <c r="D26" s="87">
        <v>1</v>
      </c>
      <c r="E26" s="88" t="s">
        <v>27</v>
      </c>
      <c r="F26" s="89"/>
      <c r="G26" s="90">
        <f>IF(Verzie!$E$1="CZK",S26,IF(OR(Verzie!$E$1="SK",Verzie!$E$1="HU"),U26,""))</f>
        <v>464.53089999999997</v>
      </c>
      <c r="H26" s="91" t="str">
        <f t="shared" si="0"/>
        <v>CZK</v>
      </c>
      <c r="I26" s="210" t="s">
        <v>27</v>
      </c>
      <c r="J26" s="211" t="s">
        <v>27</v>
      </c>
      <c r="L26" s="75">
        <f>G26*(1-'FORM-I'!$V$22/100)</f>
        <v>464.53089999999997</v>
      </c>
      <c r="N26" s="11" t="e">
        <f>VLOOKUP(B26,$B$11:B25,1,FALSE)</f>
        <v>#N/A</v>
      </c>
      <c r="O26" s="300" t="e">
        <f>IF(AND(OR('DATA-WL2'!$AV$22="P2O",'DATA-WL2'!$AV$22="PUL",'DATA-WL2'!$AV$22="SIS"),'DATA-WL1'!$AV$38="LAH",'DATA-WL1'!$AV$50="S",OR('DATA-WL1'!$AV$34="L",'DATA-WL1'!$AV$34=4),'DATA-WL1'!$AW$44=0),1,"")</f>
        <v>#VALUE!</v>
      </c>
      <c r="R26" s="11" t="s">
        <v>73</v>
      </c>
      <c r="S26" s="11">
        <v>464.53089999999997</v>
      </c>
      <c r="T26" s="11" t="s">
        <v>74</v>
      </c>
      <c r="U26" s="11">
        <v>18.581199999999999</v>
      </c>
    </row>
    <row r="27" spans="1:21">
      <c r="A27" s="102"/>
      <c r="B27" s="85">
        <v>9339387</v>
      </c>
      <c r="C27" s="86" t="str">
        <f>IF(Verzie!$E$1="CZK",R27,IF(Verzie!$E$1="SK",T27,IF(Verzie!$E$1="HU",V27,"")))</f>
        <v>WINGLINE L NEW DO 12 KG, BEZ ZAVÍRACÍCH PRUŽIN, S DOLNÍM VEDENÍM, SADA LEVÁ BÍLÁ</v>
      </c>
      <c r="D27" s="87">
        <v>1</v>
      </c>
      <c r="E27" s="88" t="s">
        <v>27</v>
      </c>
      <c r="F27" s="89"/>
      <c r="G27" s="90">
        <f>IF(Verzie!$E$1="CZK",S27,IF(OR(Verzie!$E$1="SK",Verzie!$E$1="HU"),U27,""))</f>
        <v>510.98050000000001</v>
      </c>
      <c r="H27" s="91" t="str">
        <f t="shared" si="0"/>
        <v>CZK</v>
      </c>
      <c r="I27" s="210" t="s">
        <v>27</v>
      </c>
      <c r="J27" s="211" t="s">
        <v>27</v>
      </c>
      <c r="L27" s="75">
        <f>G27*(1-'FORM-I'!$V$22/100)</f>
        <v>510.98050000000001</v>
      </c>
      <c r="N27" s="11" t="e">
        <f>VLOOKUP(B27,$B$11:B26,1,FALSE)</f>
        <v>#N/A</v>
      </c>
      <c r="O27" s="300" t="e">
        <f>IF(AND(OR('DATA-WL2'!$AV$22="P2O",'DATA-WL2'!$AV$22="PUL",'DATA-WL2'!$AV$22="SIS"),'DATA-WL1'!$AV$38="LAH",'DATA-WL1'!$AV$50="B",OR('DATA-WL1'!$AV$34="L",'DATA-WL1'!$AV$34=4),'DATA-WL1'!$AW$44=0),1,"")</f>
        <v>#VALUE!</v>
      </c>
      <c r="R27" s="11" t="s">
        <v>75</v>
      </c>
      <c r="S27" s="11">
        <v>510.98050000000001</v>
      </c>
      <c r="T27" s="11" t="s">
        <v>76</v>
      </c>
      <c r="U27" s="11">
        <v>20.4392</v>
      </c>
    </row>
    <row r="28" spans="1:21">
      <c r="A28" s="112"/>
      <c r="B28" s="85">
        <v>9339388</v>
      </c>
      <c r="C28" s="86" t="str">
        <f>IF(Verzie!$E$1="CZK",R28,IF(Verzie!$E$1="SK",T28,IF(Verzie!$E$1="HU",V28,"")))</f>
        <v>WINGLINE L NEW DO 12 KG, BEZ ZAVÍRACÍCH PRUŽIN, S DOLNÍM VEDENÍM, SADA LEVÁ ANTRACIT</v>
      </c>
      <c r="D28" s="87">
        <v>1</v>
      </c>
      <c r="E28" s="88" t="s">
        <v>27</v>
      </c>
      <c r="F28" s="89"/>
      <c r="G28" s="90">
        <f>IF(Verzie!$E$1="CZK",S28,IF(OR(Verzie!$E$1="SK",Verzie!$E$1="HU"),U28,""))</f>
        <v>510.98050000000001</v>
      </c>
      <c r="H28" s="91" t="str">
        <f t="shared" si="0"/>
        <v>CZK</v>
      </c>
      <c r="I28" s="210" t="s">
        <v>27</v>
      </c>
      <c r="J28" s="211" t="s">
        <v>27</v>
      </c>
      <c r="L28" s="75">
        <f>G28*(1-'FORM-I'!$V$22/100)</f>
        <v>510.98050000000001</v>
      </c>
      <c r="N28" s="11" t="e">
        <f>VLOOKUP(B28,$B$11:B27,1,FALSE)</f>
        <v>#N/A</v>
      </c>
      <c r="O28" s="300" t="e">
        <f>IF(AND(OR('DATA-WL2'!$AV$22="P2O",'DATA-WL2'!$AV$22="PUL",'DATA-WL2'!$AV$22="SIS"),'DATA-WL1'!$AV$38="LAH",'DATA-WL1'!$AV$50="A",OR('DATA-WL1'!$AV$34="L",'DATA-WL1'!$AV$34=4),'DATA-WL1'!$AW$44=0),1,"")</f>
        <v>#VALUE!</v>
      </c>
      <c r="R28" s="11" t="s">
        <v>77</v>
      </c>
      <c r="S28" s="11">
        <v>510.98050000000001</v>
      </c>
      <c r="T28" s="11" t="s">
        <v>78</v>
      </c>
      <c r="U28" s="11">
        <v>20.4392</v>
      </c>
    </row>
    <row r="29" spans="1:21">
      <c r="A29" s="67"/>
      <c r="B29" s="85">
        <v>9339366</v>
      </c>
      <c r="C29" s="86" t="str">
        <f>IF(Verzie!$E$1="CZK",R29,IF(Verzie!$E$1="SK",T29,IF(Verzie!$E$1="HU",V29,"")))</f>
        <v>WINGLINE L NEW DO 12 KG, SE ZAVÍRACÍMI PRUŽINAMI, S DOLNÍM VEDENÍM, SADA PRAVÁ ŠEDÁ</v>
      </c>
      <c r="D29" s="87">
        <v>1</v>
      </c>
      <c r="E29" s="88" t="s">
        <v>27</v>
      </c>
      <c r="F29" s="89"/>
      <c r="G29" s="90">
        <f>IF(Verzie!$E$1="CZK",S29,IF(OR(Verzie!$E$1="SK",Verzie!$E$1="HU"),U29,""))</f>
        <v>464.53089999999997</v>
      </c>
      <c r="H29" s="91" t="str">
        <f t="shared" si="0"/>
        <v>CZK</v>
      </c>
      <c r="I29" s="210" t="s">
        <v>27</v>
      </c>
      <c r="J29" s="211" t="s">
        <v>27</v>
      </c>
      <c r="L29" s="75">
        <f>G29*(1-'FORM-I'!$V$22/100)</f>
        <v>464.53089999999997</v>
      </c>
      <c r="N29" s="11" t="e">
        <f>VLOOKUP(B29,$B$11:B28,1,FALSE)</f>
        <v>#N/A</v>
      </c>
      <c r="O29" s="300" t="e">
        <f>IF(AND('DATA-WL2'!$AV$22="bez",'DATA-WL1'!$AV$38="LAH",'DATA-WL1'!$AV$50="S",OR('DATA-WL1'!$AV$34="P",'DATA-WL1'!$AV$34=4),'DATA-WL1'!$AW$44=0),1,"")</f>
        <v>#VALUE!</v>
      </c>
      <c r="R29" s="11" t="s">
        <v>79</v>
      </c>
      <c r="S29" s="11">
        <v>464.53089999999997</v>
      </c>
      <c r="T29" s="11" t="s">
        <v>80</v>
      </c>
      <c r="U29" s="11">
        <v>18.581199999999999</v>
      </c>
    </row>
    <row r="30" spans="1:21">
      <c r="A30" s="102"/>
      <c r="B30" s="85">
        <v>9339367</v>
      </c>
      <c r="C30" s="86" t="str">
        <f>IF(Verzie!$E$1="CZK",R30,IF(Verzie!$E$1="SK",T30,IF(Verzie!$E$1="HU",V30,"")))</f>
        <v>WINGLINE L NEW DO 12 KG, SE ZAVÍRACÍMI PRUŽINAMI, S DOLNÍM VEDENÍM, SADA PRAVÁ BÍLÁ</v>
      </c>
      <c r="D30" s="87">
        <v>1</v>
      </c>
      <c r="E30" s="88" t="s">
        <v>27</v>
      </c>
      <c r="F30" s="89"/>
      <c r="G30" s="90">
        <f>IF(Verzie!$E$1="CZK",S30,IF(OR(Verzie!$E$1="SK",Verzie!$E$1="HU"),U30,""))</f>
        <v>510.98050000000001</v>
      </c>
      <c r="H30" s="91" t="str">
        <f t="shared" si="0"/>
        <v>CZK</v>
      </c>
      <c r="I30" s="210" t="s">
        <v>27</v>
      </c>
      <c r="J30" s="211" t="s">
        <v>27</v>
      </c>
      <c r="L30" s="75">
        <f>G30*(1-'FORM-I'!$V$22/100)</f>
        <v>510.98050000000001</v>
      </c>
      <c r="N30" s="11" t="e">
        <f>VLOOKUP(B30,$B$11:B29,1,FALSE)</f>
        <v>#N/A</v>
      </c>
      <c r="O30" s="300" t="e">
        <f>IF(AND('DATA-WL2'!$AV$22="bez",'DATA-WL1'!$AV$38="LAH",'DATA-WL1'!$AV$50="B",OR('DATA-WL1'!$AV$34="P",'DATA-WL1'!$AV$34=4),'DATA-WL1'!$AW$44=0),1,"")</f>
        <v>#VALUE!</v>
      </c>
      <c r="R30" s="11" t="s">
        <v>81</v>
      </c>
      <c r="S30" s="11">
        <v>510.98050000000001</v>
      </c>
      <c r="T30" s="11" t="s">
        <v>82</v>
      </c>
      <c r="U30" s="11">
        <v>20.4392</v>
      </c>
    </row>
    <row r="31" spans="1:21">
      <c r="A31" s="112"/>
      <c r="B31" s="85">
        <v>9339368</v>
      </c>
      <c r="C31" s="86" t="str">
        <f>IF(Verzie!$E$1="CZK",R31,IF(Verzie!$E$1="SK",T31,IF(Verzie!$E$1="HU",V31,"")))</f>
        <v>WINGLINE L NEW DO 12 KG, SE ZAVÍRACÍMI PRUŽINAMI, S DOLNÍM VEDENÍM, SADA PRAVÁ ANTRACIT</v>
      </c>
      <c r="D31" s="87">
        <v>1</v>
      </c>
      <c r="E31" s="88" t="s">
        <v>27</v>
      </c>
      <c r="F31" s="89"/>
      <c r="G31" s="90">
        <f>IF(Verzie!$E$1="CZK",S31,IF(OR(Verzie!$E$1="SK",Verzie!$E$1="HU"),U31,""))</f>
        <v>510.98050000000001</v>
      </c>
      <c r="H31" s="91" t="str">
        <f t="shared" si="0"/>
        <v>CZK</v>
      </c>
      <c r="I31" s="210" t="s">
        <v>27</v>
      </c>
      <c r="J31" s="211" t="s">
        <v>27</v>
      </c>
      <c r="L31" s="75">
        <f>G31*(1-'FORM-I'!$V$22/100)</f>
        <v>510.98050000000001</v>
      </c>
      <c r="N31" s="11" t="e">
        <f>VLOOKUP(B31,$B$11:B30,1,FALSE)</f>
        <v>#N/A</v>
      </c>
      <c r="O31" s="300" t="e">
        <f>IF(AND('DATA-WL2'!$AV$22="bez",'DATA-WL1'!$AV$38="LAH",'DATA-WL1'!$AV$50="A",OR('DATA-WL1'!$AV$34="P",'DATA-WL1'!$AV$34=4),'DATA-WL1'!$AW$44=0),1,"")</f>
        <v>#VALUE!</v>
      </c>
      <c r="R31" s="11" t="s">
        <v>83</v>
      </c>
      <c r="S31" s="11">
        <v>510.98050000000001</v>
      </c>
      <c r="T31" s="11" t="s">
        <v>84</v>
      </c>
      <c r="U31" s="11">
        <v>20.4392</v>
      </c>
    </row>
    <row r="32" spans="1:21">
      <c r="A32" s="67"/>
      <c r="B32" s="85">
        <v>9339369</v>
      </c>
      <c r="C32" s="86" t="str">
        <f>IF(Verzie!$E$1="CZK",R32,IF(Verzie!$E$1="SK",T32,IF(Verzie!$E$1="HU",V32,"")))</f>
        <v>WINGLINE L NEW DO 12 KG, BEZ ZAVÍRACÍCH PRUŽIN, S DOLNÍM VEDENÍM, SADA PRAVÁ ŠEDÁ</v>
      </c>
      <c r="D32" s="87">
        <v>1</v>
      </c>
      <c r="E32" s="88" t="s">
        <v>27</v>
      </c>
      <c r="F32" s="89"/>
      <c r="G32" s="90">
        <f>IF(Verzie!$E$1="CZK",S32,IF(OR(Verzie!$E$1="SK",Verzie!$E$1="HU"),U32,""))</f>
        <v>464.53089999999997</v>
      </c>
      <c r="H32" s="91" t="str">
        <f t="shared" si="0"/>
        <v>CZK</v>
      </c>
      <c r="I32" s="210" t="s">
        <v>27</v>
      </c>
      <c r="J32" s="211" t="s">
        <v>27</v>
      </c>
      <c r="L32" s="75">
        <f>G32*(1-'FORM-I'!$V$22/100)</f>
        <v>464.53089999999997</v>
      </c>
      <c r="N32" s="11" t="e">
        <f>VLOOKUP(B32,$B$11:B31,1,FALSE)</f>
        <v>#N/A</v>
      </c>
      <c r="O32" s="300" t="e">
        <f>IF(AND(OR('DATA-WL2'!$AV$22="P2O",'DATA-WL2'!$AV$22="PUL",'DATA-WL2'!$AV$22="SIS"),'DATA-WL1'!$AV$38="LAH",'DATA-WL1'!$AV$50="S",OR('DATA-WL1'!$AV$34="P",'DATA-WL1'!$AV$34=4),'DATA-WL1'!$AW$44=0),1,"")</f>
        <v>#VALUE!</v>
      </c>
      <c r="R32" s="11" t="s">
        <v>85</v>
      </c>
      <c r="S32" s="11">
        <v>464.53089999999997</v>
      </c>
      <c r="T32" s="11" t="s">
        <v>86</v>
      </c>
      <c r="U32" s="11">
        <v>18.581199999999999</v>
      </c>
    </row>
    <row r="33" spans="1:21">
      <c r="A33" s="102"/>
      <c r="B33" s="85">
        <v>9339370</v>
      </c>
      <c r="C33" s="86" t="str">
        <f>IF(Verzie!$E$1="CZK",R33,IF(Verzie!$E$1="SK",T33,IF(Verzie!$E$1="HU",V33,"")))</f>
        <v>WINGLINE L NEW DO 12 KG, BEZ ZAVÍRACÍCH PRUŽIN, S DOLNÍM VEDENÍM, SADA PRAVÁ BÍLÁ</v>
      </c>
      <c r="D33" s="87">
        <v>1</v>
      </c>
      <c r="E33" s="88" t="s">
        <v>27</v>
      </c>
      <c r="F33" s="89"/>
      <c r="G33" s="90">
        <f>IF(Verzie!$E$1="CZK",S33,IF(OR(Verzie!$E$1="SK",Verzie!$E$1="HU"),U33,""))</f>
        <v>510.98050000000001</v>
      </c>
      <c r="H33" s="91" t="str">
        <f t="shared" si="0"/>
        <v>CZK</v>
      </c>
      <c r="I33" s="210" t="s">
        <v>27</v>
      </c>
      <c r="J33" s="211" t="s">
        <v>27</v>
      </c>
      <c r="L33" s="75">
        <f>G33*(1-'FORM-I'!$V$22/100)</f>
        <v>510.98050000000001</v>
      </c>
      <c r="N33" s="11" t="e">
        <f>VLOOKUP(B33,$B$11:B32,1,FALSE)</f>
        <v>#N/A</v>
      </c>
      <c r="O33" s="300" t="e">
        <f>IF(AND(OR('DATA-WL2'!$AV$22="P2O",'DATA-WL2'!$AV$22="PUL",'DATA-WL2'!$AV$22="SIS"),'DATA-WL1'!$AV$38="LAH",'DATA-WL1'!$AV$50="B",OR('DATA-WL1'!$AV$34="P",'DATA-WL1'!$AV$34=4),'DATA-WL1'!$AW$44=0),1,"")</f>
        <v>#VALUE!</v>
      </c>
      <c r="R33" s="11" t="s">
        <v>87</v>
      </c>
      <c r="S33" s="11">
        <v>510.98050000000001</v>
      </c>
      <c r="T33" s="11" t="s">
        <v>88</v>
      </c>
      <c r="U33" s="11">
        <v>20.4392</v>
      </c>
    </row>
    <row r="34" spans="1:21">
      <c r="A34" s="112"/>
      <c r="B34" s="93">
        <v>9339381</v>
      </c>
      <c r="C34" s="94" t="str">
        <f>IF(Verzie!$E$1="CZK",R34,IF(Verzie!$E$1="SK",T34,IF(Verzie!$E$1="HU",V34,"")))</f>
        <v>WINGLINE L NEW DO 12 KG, BEZ ZAVÍRACÍCH PRUŽIN, S DOLNÍM VEDENÍM, SADA PRAVÁ ANTRACIT</v>
      </c>
      <c r="D34" s="95">
        <v>1</v>
      </c>
      <c r="E34" s="96" t="s">
        <v>27</v>
      </c>
      <c r="F34" s="97"/>
      <c r="G34" s="98">
        <f>IF(Verzie!$E$1="CZK",S34,IF(OR(Verzie!$E$1="SK",Verzie!$E$1="HU"),U34,""))</f>
        <v>510.98050000000001</v>
      </c>
      <c r="H34" s="99" t="str">
        <f t="shared" si="0"/>
        <v>CZK</v>
      </c>
      <c r="I34" s="100" t="s">
        <v>27</v>
      </c>
      <c r="J34" s="101" t="s">
        <v>27</v>
      </c>
      <c r="L34" s="75">
        <f>G34*(1-'FORM-I'!$V$22/100)</f>
        <v>510.98050000000001</v>
      </c>
      <c r="N34" s="11" t="e">
        <f>VLOOKUP(B34,$B$11:B33,1,FALSE)</f>
        <v>#N/A</v>
      </c>
      <c r="O34" s="300" t="e">
        <f>IF(AND(OR('DATA-WL2'!$AV$22="P2O",'DATA-WL2'!$AV$22="PUL",'DATA-WL2'!$AV$22="SIS"),'DATA-WL1'!$AV$38="LAH",'DATA-WL1'!$AV$50="A",OR('DATA-WL1'!$AV$34="P",'DATA-WL1'!$AV$34=4),'DATA-WL1'!$AW$44=0),1,"")</f>
        <v>#VALUE!</v>
      </c>
      <c r="R34" s="11" t="s">
        <v>89</v>
      </c>
      <c r="S34" s="11">
        <v>510.98050000000001</v>
      </c>
      <c r="T34" s="11" t="s">
        <v>90</v>
      </c>
      <c r="U34" s="11">
        <v>20.4392</v>
      </c>
    </row>
    <row r="35" spans="1:21">
      <c r="A35" s="67"/>
      <c r="B35" s="85">
        <v>9339477</v>
      </c>
      <c r="C35" s="86" t="str">
        <f>IF(Verzie!$E$1="CZK",R35,IF(Verzie!$E$1="SK",T35,IF(Verzie!$E$1="HU",V35,"")))</f>
        <v>WINGLINE L NEW DO 12 KG, SE ZAVÍRACÍMI PRUŽINAMI, BEZ DOLNÍHO VEDENÍ, SADA LEVÁ ŠEDÁ</v>
      </c>
      <c r="D35" s="87">
        <v>1</v>
      </c>
      <c r="E35" s="88" t="s">
        <v>27</v>
      </c>
      <c r="F35" s="89"/>
      <c r="G35" s="90">
        <f>IF(Verzie!$E$1="CZK",S35,IF(OR(Verzie!$E$1="SK",Verzie!$E$1="HU"),U35,""))</f>
        <v>401.06180000000001</v>
      </c>
      <c r="H35" s="91" t="str">
        <f t="shared" si="0"/>
        <v>CZK</v>
      </c>
      <c r="I35" s="210" t="s">
        <v>27</v>
      </c>
      <c r="J35" s="211" t="s">
        <v>27</v>
      </c>
      <c r="L35" s="75">
        <f>G35*(1-'FORM-I'!$V$22/100)</f>
        <v>401.06180000000001</v>
      </c>
      <c r="N35" s="11" t="e">
        <f>VLOOKUP(B35,$B$11:B34,1,FALSE)</f>
        <v>#N/A</v>
      </c>
      <c r="O35" s="300" t="str">
        <f>IF(AND('DATA-WL2'!$AV$22="bez",'DATA-WL1'!$AV$50="S",OR('DATA-WL1'!$AV$34="L",'DATA-WL1'!$AV$34=4),'DATA-WL1'!$AW$44="BEZ"),1,"")</f>
        <v/>
      </c>
      <c r="R35" s="11" t="s">
        <v>91</v>
      </c>
      <c r="S35" s="11">
        <v>401.06180000000001</v>
      </c>
      <c r="T35" s="11" t="s">
        <v>92</v>
      </c>
      <c r="U35" s="11">
        <v>16.0425</v>
      </c>
    </row>
    <row r="36" spans="1:21">
      <c r="A36" s="102"/>
      <c r="B36" s="85">
        <v>9339478</v>
      </c>
      <c r="C36" s="86" t="str">
        <f>IF(Verzie!$E$1="CZK",R36,IF(Verzie!$E$1="SK",T36,IF(Verzie!$E$1="HU",V36,"")))</f>
        <v>WINGLINE L NEW DO 12 KG, SE ZAVÍRACÍMI PRUŽINAMI, BEZ DOLNÍHO VEDENÍ, SADA LEVÁ BÍLÁ</v>
      </c>
      <c r="D36" s="87">
        <v>1</v>
      </c>
      <c r="E36" s="88" t="s">
        <v>27</v>
      </c>
      <c r="F36" s="89"/>
      <c r="G36" s="90">
        <f>IF(Verzie!$E$1="CZK",S36,IF(OR(Verzie!$E$1="SK",Verzie!$E$1="HU"),U36,""))</f>
        <v>441.17519999999996</v>
      </c>
      <c r="H36" s="91" t="str">
        <f t="shared" si="0"/>
        <v>CZK</v>
      </c>
      <c r="I36" s="210" t="s">
        <v>27</v>
      </c>
      <c r="J36" s="211" t="s">
        <v>27</v>
      </c>
      <c r="L36" s="75">
        <f>G36*(1-'FORM-I'!$V$22/100)</f>
        <v>441.17519999999996</v>
      </c>
      <c r="N36" s="11" t="e">
        <f>VLOOKUP(B36,$B$11:B35,1,FALSE)</f>
        <v>#N/A</v>
      </c>
      <c r="O36" s="300" t="str">
        <f>IF(AND('DATA-WL2'!$AV$22="bez",'DATA-WL1'!$AV$50="B",OR('DATA-WL1'!$AV$34="L",'DATA-WL1'!$AV$34=4),'DATA-WL1'!$AW$44="BEZ"),1,"")</f>
        <v/>
      </c>
      <c r="R36" s="11" t="s">
        <v>93</v>
      </c>
      <c r="S36" s="11">
        <v>441.17519999999996</v>
      </c>
      <c r="T36" s="11" t="s">
        <v>94</v>
      </c>
      <c r="U36" s="11">
        <v>17.647000000000002</v>
      </c>
    </row>
    <row r="37" spans="1:21">
      <c r="A37" s="112"/>
      <c r="B37" s="85">
        <v>9339479</v>
      </c>
      <c r="C37" s="86" t="str">
        <f>IF(Verzie!$E$1="CZK",R37,IF(Verzie!$E$1="SK",T37,IF(Verzie!$E$1="HU",V37,"")))</f>
        <v>WINGLINE L NEW DO 12 KG, SE ZAVÍRACÍMI PRUŽINAMI, BEZ DOLNÍHO VEDENÍ, SADA LEVÁ ANTRACIT</v>
      </c>
      <c r="D37" s="87">
        <v>1</v>
      </c>
      <c r="E37" s="88" t="s">
        <v>27</v>
      </c>
      <c r="F37" s="89"/>
      <c r="G37" s="90">
        <f>IF(Verzie!$E$1="CZK",S37,IF(OR(Verzie!$E$1="SK",Verzie!$E$1="HU"),U37,""))</f>
        <v>441.17519999999996</v>
      </c>
      <c r="H37" s="91" t="str">
        <f t="shared" si="0"/>
        <v>CZK</v>
      </c>
      <c r="I37" s="210" t="s">
        <v>27</v>
      </c>
      <c r="J37" s="211" t="s">
        <v>27</v>
      </c>
      <c r="L37" s="75">
        <f>G37*(1-'FORM-I'!$V$22/100)</f>
        <v>441.17519999999996</v>
      </c>
      <c r="N37" s="11" t="e">
        <f>VLOOKUP(B37,$B$11:B36,1,FALSE)</f>
        <v>#N/A</v>
      </c>
      <c r="O37" s="300" t="str">
        <f>IF(AND('DATA-WL2'!$AV$22="bez",'DATA-WL1'!$AV$50="A",OR('DATA-WL1'!$AV$34="L",'DATA-WL1'!$AV$34=4),'DATA-WL1'!$AW$44="BEZ"),1,"")</f>
        <v/>
      </c>
      <c r="R37" s="11" t="s">
        <v>95</v>
      </c>
      <c r="S37" s="11">
        <v>441.17519999999996</v>
      </c>
      <c r="T37" s="11" t="s">
        <v>96</v>
      </c>
      <c r="U37" s="11">
        <v>17.647000000000002</v>
      </c>
    </row>
    <row r="38" spans="1:21">
      <c r="A38" s="67"/>
      <c r="B38" s="85">
        <v>9339481</v>
      </c>
      <c r="C38" s="86" t="str">
        <f>IF(Verzie!$E$1="CZK",R38,IF(Verzie!$E$1="SK",T38,IF(Verzie!$E$1="HU",V38,"")))</f>
        <v>WINGLINE L NEW DO 12 KG, BEZ ZAVÍRACÍCH PRUŽIN, BEZ DOLNÍHO VEDENÍ, SADA LEVÁ ŠEDÁ</v>
      </c>
      <c r="D38" s="87">
        <v>1</v>
      </c>
      <c r="E38" s="88" t="s">
        <v>27</v>
      </c>
      <c r="F38" s="89"/>
      <c r="G38" s="90">
        <f>IF(Verzie!$E$1="CZK",S38,IF(OR(Verzie!$E$1="SK",Verzie!$E$1="HU"),U38,""))</f>
        <v>401.06180000000001</v>
      </c>
      <c r="H38" s="91" t="str">
        <f t="shared" si="0"/>
        <v>CZK</v>
      </c>
      <c r="I38" s="210" t="s">
        <v>27</v>
      </c>
      <c r="J38" s="211" t="s">
        <v>27</v>
      </c>
      <c r="L38" s="75">
        <f>G38*(1-'FORM-I'!$V$22/100)</f>
        <v>401.06180000000001</v>
      </c>
      <c r="N38" s="11" t="e">
        <f>VLOOKUP(B38,$B$11:B37,1,FALSE)</f>
        <v>#N/A</v>
      </c>
      <c r="O38" s="300" t="str">
        <f>IF(AND(OR('DATA-WL2'!$AV$22="P2O",'DATA-WL2'!$AV$22="PUL",'DATA-WL2'!$AV$22="SIS"),'DATA-WL1'!$AV$50="S",OR('DATA-WL1'!$AV$34="L",'DATA-WL1'!$AV$34=4),'DATA-WL1'!$AW$44="BEZ"),1,"")</f>
        <v/>
      </c>
      <c r="R38" s="11" t="s">
        <v>97</v>
      </c>
      <c r="S38" s="11">
        <v>401.06180000000001</v>
      </c>
      <c r="T38" s="11" t="s">
        <v>98</v>
      </c>
      <c r="U38" s="11">
        <v>16.0425</v>
      </c>
    </row>
    <row r="39" spans="1:21">
      <c r="A39" s="102"/>
      <c r="B39" s="85">
        <v>9339482</v>
      </c>
      <c r="C39" s="86" t="str">
        <f>IF(Verzie!$E$1="CZK",R39,IF(Verzie!$E$1="SK",T39,IF(Verzie!$E$1="HU",V39,"")))</f>
        <v>WINGLINE L NEW DO 12 KG, BEZ ZAVÍRACÍCH PRUŽIN, BEZ DOLNÍHO VEDENÍ, SADA LEVÁ BÍLÁ</v>
      </c>
      <c r="D39" s="87">
        <v>1</v>
      </c>
      <c r="E39" s="88" t="s">
        <v>27</v>
      </c>
      <c r="F39" s="89"/>
      <c r="G39" s="90">
        <f>IF(Verzie!$E$1="CZK",S39,IF(OR(Verzie!$E$1="SK",Verzie!$E$1="HU"),U39,""))</f>
        <v>441.17519999999996</v>
      </c>
      <c r="H39" s="91" t="str">
        <f t="shared" si="0"/>
        <v>CZK</v>
      </c>
      <c r="I39" s="210" t="s">
        <v>27</v>
      </c>
      <c r="J39" s="211" t="s">
        <v>27</v>
      </c>
      <c r="L39" s="75">
        <f>G39*(1-'FORM-I'!$V$22/100)</f>
        <v>441.17519999999996</v>
      </c>
      <c r="N39" s="11" t="e">
        <f>VLOOKUP(B39,$B$11:B38,1,FALSE)</f>
        <v>#N/A</v>
      </c>
      <c r="O39" s="300" t="str">
        <f>IF(AND(OR('DATA-WL2'!$AV$22="P2O",'DATA-WL2'!$AV$22="PUL",'DATA-WL2'!$AV$22="SIS"),'DATA-WL1'!$AV$50="B",OR('DATA-WL1'!$AV$34="L",'DATA-WL1'!$AV$34=4),'DATA-WL1'!$AW$44="BEZ"),1,"")</f>
        <v/>
      </c>
      <c r="R39" s="11" t="s">
        <v>99</v>
      </c>
      <c r="S39" s="11">
        <v>441.17519999999996</v>
      </c>
      <c r="T39" s="11" t="s">
        <v>100</v>
      </c>
      <c r="U39" s="11">
        <v>17.647000000000002</v>
      </c>
    </row>
    <row r="40" spans="1:21">
      <c r="A40" s="112"/>
      <c r="B40" s="85">
        <v>9339483</v>
      </c>
      <c r="C40" s="86" t="str">
        <f>IF(Verzie!$E$1="CZK",R40,IF(Verzie!$E$1="SK",T40,IF(Verzie!$E$1="HU",V40,"")))</f>
        <v>WINGLINE L NEW DO 12 KG, BEZ ZAVÍRACÍCH PRUŽIN, BEZ DOLNÍHO VEDENÍ, SADA LEVÁ ANTRACIT</v>
      </c>
      <c r="D40" s="87">
        <v>1</v>
      </c>
      <c r="E40" s="88" t="s">
        <v>27</v>
      </c>
      <c r="F40" s="89"/>
      <c r="G40" s="90">
        <f>IF(Verzie!$E$1="CZK",S40,IF(OR(Verzie!$E$1="SK",Verzie!$E$1="HU"),U40,""))</f>
        <v>441.17519999999996</v>
      </c>
      <c r="H40" s="91" t="str">
        <f t="shared" si="0"/>
        <v>CZK</v>
      </c>
      <c r="I40" s="210" t="s">
        <v>27</v>
      </c>
      <c r="J40" s="211" t="s">
        <v>27</v>
      </c>
      <c r="L40" s="75">
        <f>G40*(1-'FORM-I'!$V$22/100)</f>
        <v>441.17519999999996</v>
      </c>
      <c r="N40" s="11" t="e">
        <f>VLOOKUP(B40,$B$11:B39,1,FALSE)</f>
        <v>#N/A</v>
      </c>
      <c r="O40" s="300" t="str">
        <f>IF(AND(OR('DATA-WL2'!$AV$22="P2O",'DATA-WL2'!$AV$22="PUL",'DATA-WL2'!$AV$22="SIS"),'DATA-WL1'!$AV$50="A",OR('DATA-WL1'!$AV$34="L",'DATA-WL1'!$AV$34=4),'DATA-WL1'!$AW$44="BEZ"),1,"")</f>
        <v/>
      </c>
      <c r="R40" s="11" t="s">
        <v>101</v>
      </c>
      <c r="S40" s="11">
        <v>441.17519999999996</v>
      </c>
      <c r="T40" s="11" t="s">
        <v>102</v>
      </c>
      <c r="U40" s="11">
        <v>17.647000000000002</v>
      </c>
    </row>
    <row r="41" spans="1:21">
      <c r="A41" s="67"/>
      <c r="B41" s="85">
        <v>9339389</v>
      </c>
      <c r="C41" s="86" t="str">
        <f>IF(Verzie!$E$1="CZK",R41,IF(Verzie!$E$1="SK",T41,IF(Verzie!$E$1="HU",V41,"")))</f>
        <v>WINGLINE L NEW DO 12 KG, SE ZAVÍRACÍMI PRUŽINAMI, BEZ DOLNÍHO VEDENÍ, SADA PRAVÁ ŠEDÁ</v>
      </c>
      <c r="D41" s="87">
        <v>1</v>
      </c>
      <c r="E41" s="88" t="s">
        <v>27</v>
      </c>
      <c r="F41" s="89"/>
      <c r="G41" s="90">
        <f>IF(Verzie!$E$1="CZK",S41,IF(OR(Verzie!$E$1="SK",Verzie!$E$1="HU"),U41,""))</f>
        <v>401.06180000000001</v>
      </c>
      <c r="H41" s="91" t="str">
        <f t="shared" si="0"/>
        <v>CZK</v>
      </c>
      <c r="I41" s="210" t="s">
        <v>27</v>
      </c>
      <c r="J41" s="211" t="s">
        <v>27</v>
      </c>
      <c r="L41" s="75">
        <f>G41*(1-'FORM-I'!$V$22/100)</f>
        <v>401.06180000000001</v>
      </c>
      <c r="N41" s="11" t="e">
        <f>VLOOKUP(B41,$B$11:B40,1,FALSE)</f>
        <v>#N/A</v>
      </c>
      <c r="O41" s="300" t="str">
        <f>IF(AND('DATA-WL2'!$AV$22="BEZ",'DATA-WL1'!$AV$50="S",OR('DATA-WL1'!$AV$34="P",'DATA-WL1'!$AV$34=4),'DATA-WL1'!$AW$44="BEZ"),1,"")</f>
        <v/>
      </c>
      <c r="R41" s="11" t="s">
        <v>103</v>
      </c>
      <c r="S41" s="11">
        <v>401.06180000000001</v>
      </c>
      <c r="T41" s="11" t="s">
        <v>104</v>
      </c>
      <c r="U41" s="11">
        <v>16.0425</v>
      </c>
    </row>
    <row r="42" spans="1:21">
      <c r="A42" s="102"/>
      <c r="B42" s="85">
        <v>9339390</v>
      </c>
      <c r="C42" s="86" t="str">
        <f>IF(Verzie!$E$1="CZK",R42,IF(Verzie!$E$1="SK",T42,IF(Verzie!$E$1="HU",V42,"")))</f>
        <v>WINGLINE L NEW DO 12 KG, SE ZAVÍRACÍMI PRUŽINAMI, BEZ DOLNÍHO VEDENÍ, SADA PRAVÁ BÍLÁ</v>
      </c>
      <c r="D42" s="87">
        <v>1</v>
      </c>
      <c r="E42" s="88" t="s">
        <v>27</v>
      </c>
      <c r="F42" s="89"/>
      <c r="G42" s="90">
        <f>IF(Verzie!$E$1="CZK",S42,IF(OR(Verzie!$E$1="SK",Verzie!$E$1="HU"),U42,""))</f>
        <v>441.17519999999996</v>
      </c>
      <c r="H42" s="91" t="str">
        <f t="shared" si="0"/>
        <v>CZK</v>
      </c>
      <c r="I42" s="210" t="s">
        <v>27</v>
      </c>
      <c r="J42" s="211" t="s">
        <v>27</v>
      </c>
      <c r="L42" s="75">
        <f>G42*(1-'FORM-I'!$V$22/100)</f>
        <v>441.17519999999996</v>
      </c>
      <c r="N42" s="11" t="e">
        <f>VLOOKUP(B42,$B$11:B41,1,FALSE)</f>
        <v>#N/A</v>
      </c>
      <c r="O42" s="300" t="str">
        <f>IF(AND('DATA-WL2'!$AV$22="BEZ",'DATA-WL1'!$AV$50="B",OR('DATA-WL1'!$AV$34="P",'DATA-WL1'!$AV$34=4),'DATA-WL1'!$AW$44="BEZ"),1,"")</f>
        <v/>
      </c>
      <c r="R42" s="11" t="s">
        <v>105</v>
      </c>
      <c r="S42" s="11">
        <v>441.17519999999996</v>
      </c>
      <c r="T42" s="11" t="s">
        <v>106</v>
      </c>
      <c r="U42" s="11">
        <v>17.647000000000002</v>
      </c>
    </row>
    <row r="43" spans="1:21">
      <c r="A43" s="112"/>
      <c r="B43" s="85">
        <v>9339391</v>
      </c>
      <c r="C43" s="86" t="str">
        <f>IF(Verzie!$E$1="CZK",R43,IF(Verzie!$E$1="SK",T43,IF(Verzie!$E$1="HU",V43,"")))</f>
        <v>WINGLINE L NEW DO 12 KG, SE ZAVÍRACÍMI PRUŽINAMI, BEZ DOLNÍHO VEDENÍ, SADA PRAVÁ ANTRACIT</v>
      </c>
      <c r="D43" s="87">
        <v>1</v>
      </c>
      <c r="E43" s="88" t="s">
        <v>27</v>
      </c>
      <c r="F43" s="89"/>
      <c r="G43" s="90">
        <f>IF(Verzie!$E$1="CZK",S43,IF(OR(Verzie!$E$1="SK",Verzie!$E$1="HU"),U43,""))</f>
        <v>441.17519999999996</v>
      </c>
      <c r="H43" s="91" t="str">
        <f t="shared" si="0"/>
        <v>CZK</v>
      </c>
      <c r="I43" s="210" t="s">
        <v>27</v>
      </c>
      <c r="J43" s="211" t="s">
        <v>27</v>
      </c>
      <c r="L43" s="75">
        <f>G43*(1-'FORM-I'!$V$22/100)</f>
        <v>441.17519999999996</v>
      </c>
      <c r="N43" s="11" t="e">
        <f>VLOOKUP(B43,$B$11:B42,1,FALSE)</f>
        <v>#N/A</v>
      </c>
      <c r="O43" s="300" t="str">
        <f>IF(AND('DATA-WL2'!$AV$22="BEZ",'DATA-WL1'!$AV$50="A",OR('DATA-WL1'!$AV$34="P",'DATA-WL1'!$AV$34=4),'DATA-WL1'!$AW$44="BEZ"),1,"")</f>
        <v/>
      </c>
      <c r="R43" s="11" t="s">
        <v>107</v>
      </c>
      <c r="S43" s="11">
        <v>441.17519999999996</v>
      </c>
      <c r="T43" s="11" t="s">
        <v>108</v>
      </c>
      <c r="U43" s="11">
        <v>17.647000000000002</v>
      </c>
    </row>
    <row r="44" spans="1:21">
      <c r="A44" s="67"/>
      <c r="B44" s="85">
        <v>9339392</v>
      </c>
      <c r="C44" s="86" t="str">
        <f>IF(Verzie!$E$1="CZK",R44,IF(Verzie!$E$1="SK",T44,IF(Verzie!$E$1="HU",V44,"")))</f>
        <v>WINGLINE L NEW DO 12 KG, BEZ ZAVÍRACÍCH PRUŽIN, BEZ DOLNÍHO VEDENÍ, SADA PRAVÁ ŠEDÁ</v>
      </c>
      <c r="D44" s="87">
        <v>1</v>
      </c>
      <c r="E44" s="88" t="s">
        <v>27</v>
      </c>
      <c r="F44" s="89"/>
      <c r="G44" s="90">
        <f>IF(Verzie!$E$1="CZK",S44,IF(OR(Verzie!$E$1="SK",Verzie!$E$1="HU"),U44,""))</f>
        <v>401.06180000000001</v>
      </c>
      <c r="H44" s="91" t="str">
        <f t="shared" si="0"/>
        <v>CZK</v>
      </c>
      <c r="I44" s="210" t="s">
        <v>27</v>
      </c>
      <c r="J44" s="211" t="s">
        <v>27</v>
      </c>
      <c r="L44" s="75">
        <f>G44*(1-'FORM-I'!$V$22/100)</f>
        <v>401.06180000000001</v>
      </c>
      <c r="N44" s="11" t="e">
        <f>VLOOKUP(B44,$B$11:B43,1,FALSE)</f>
        <v>#N/A</v>
      </c>
      <c r="O44" s="300" t="str">
        <f>IF(AND(OR('DATA-WL2'!$AV$22="P2O",'DATA-WL2'!$AV$22="PUL",'DATA-WL2'!$AV$22="SIS"),'DATA-WL1'!$AV$50="S",OR('DATA-WL1'!$AV$34="P",'DATA-WL1'!$AV$34=4),'DATA-WL1'!$AW$44="BEZ"),1,"")</f>
        <v/>
      </c>
      <c r="R44" s="11" t="s">
        <v>109</v>
      </c>
      <c r="S44" s="11">
        <v>401.06180000000001</v>
      </c>
      <c r="T44" s="11" t="s">
        <v>110</v>
      </c>
      <c r="U44" s="11">
        <v>16.0425</v>
      </c>
    </row>
    <row r="45" spans="1:21">
      <c r="A45" s="102"/>
      <c r="B45" s="85">
        <v>9339393</v>
      </c>
      <c r="C45" s="86" t="str">
        <f>IF(Verzie!$E$1="CZK",R45,IF(Verzie!$E$1="SK",T45,IF(Verzie!$E$1="HU",V45,"")))</f>
        <v>WINGLINE L NEW DO 12 KG, BEZ ZAVÍRACÍCH PRUŽIN, BEZ DOLNÍHO VEDENÍ, SADA PRAVÁ BÍLÁ</v>
      </c>
      <c r="D45" s="87">
        <v>1</v>
      </c>
      <c r="E45" s="88" t="s">
        <v>27</v>
      </c>
      <c r="F45" s="89"/>
      <c r="G45" s="90">
        <f>IF(Verzie!$E$1="CZK",S45,IF(OR(Verzie!$E$1="SK",Verzie!$E$1="HU"),U45,""))</f>
        <v>441.17519999999996</v>
      </c>
      <c r="H45" s="91" t="str">
        <f t="shared" si="0"/>
        <v>CZK</v>
      </c>
      <c r="I45" s="210" t="s">
        <v>27</v>
      </c>
      <c r="J45" s="211" t="s">
        <v>27</v>
      </c>
      <c r="L45" s="75">
        <f>G45*(1-'FORM-I'!$V$22/100)</f>
        <v>441.17519999999996</v>
      </c>
      <c r="N45" s="11" t="e">
        <f>VLOOKUP(B45,$B$11:B44,1,FALSE)</f>
        <v>#N/A</v>
      </c>
      <c r="O45" s="300" t="str">
        <f>IF(AND(OR('DATA-WL2'!$AV$22="P2O",'DATA-WL2'!$AV$22="PUL",'DATA-WL2'!$AV$22="SIS"),'DATA-WL1'!$AV$50="B",OR('DATA-WL1'!$AV$34="P",'DATA-WL1'!$AV$34=4),'DATA-WL1'!$AW$44="BEZ"),1,"")</f>
        <v/>
      </c>
      <c r="R45" s="11" t="s">
        <v>111</v>
      </c>
      <c r="S45" s="11">
        <v>441.17519999999996</v>
      </c>
      <c r="T45" s="11" t="s">
        <v>112</v>
      </c>
      <c r="U45" s="11">
        <v>17.647000000000002</v>
      </c>
    </row>
    <row r="46" spans="1:21">
      <c r="A46" s="112"/>
      <c r="B46" s="93">
        <v>9339394</v>
      </c>
      <c r="C46" s="94" t="str">
        <f>IF(Verzie!$E$1="CZK",R46,IF(Verzie!$E$1="SK",T46,IF(Verzie!$E$1="HU",V46,"")))</f>
        <v>WINGLINE L NEW DO 12 KG, BEZ ZAVÍRACÍCH PRUŽIN, BEZ DOLNÍHO VEDENÍ, SADA PRAVÁ ANTRACIT</v>
      </c>
      <c r="D46" s="95">
        <v>1</v>
      </c>
      <c r="E46" s="96" t="s">
        <v>27</v>
      </c>
      <c r="F46" s="97"/>
      <c r="G46" s="98">
        <f>IF(Verzie!$E$1="CZK",S46,IF(OR(Verzie!$E$1="SK",Verzie!$E$1="HU"),U46,""))</f>
        <v>441.17519999999996</v>
      </c>
      <c r="H46" s="99" t="str">
        <f t="shared" si="0"/>
        <v>CZK</v>
      </c>
      <c r="I46" s="100" t="s">
        <v>27</v>
      </c>
      <c r="J46" s="101" t="s">
        <v>27</v>
      </c>
      <c r="L46" s="75">
        <f>G46*(1-'FORM-I'!$V$22/100)</f>
        <v>441.17519999999996</v>
      </c>
      <c r="N46" s="11" t="e">
        <f>VLOOKUP(B46,$B$11:B45,1,FALSE)</f>
        <v>#N/A</v>
      </c>
      <c r="O46" s="300" t="str">
        <f>IF(AND(OR('DATA-WL2'!$AV$22="P2O",'DATA-WL2'!$AV$22="PUL",'DATA-WL2'!$AV$22="SIS"),'DATA-WL1'!$AV$50="A",OR('DATA-WL1'!$AV$34="P",'DATA-WL1'!$AV$34=4),'DATA-WL1'!$AW$44="BEZ"),1,"")</f>
        <v/>
      </c>
      <c r="R46" s="11" t="s">
        <v>113</v>
      </c>
      <c r="S46" s="11">
        <v>441.17519999999996</v>
      </c>
      <c r="T46" s="11" t="s">
        <v>114</v>
      </c>
      <c r="U46" s="11">
        <v>17.647000000000002</v>
      </c>
    </row>
    <row r="47" spans="1:21">
      <c r="B47" s="213"/>
      <c r="C47" s="214"/>
      <c r="D47" s="140"/>
      <c r="E47" s="141"/>
      <c r="F47" s="142"/>
      <c r="G47" s="143"/>
      <c r="H47" s="144" t="str">
        <f t="shared" si="0"/>
        <v/>
      </c>
      <c r="I47" s="215" t="s">
        <v>27</v>
      </c>
      <c r="J47" s="216" t="s">
        <v>27</v>
      </c>
      <c r="L47" s="75">
        <f>G47*(1-'FORM-I'!$V$22/100)</f>
        <v>0</v>
      </c>
      <c r="N47" s="11" t="e">
        <f>VLOOKUP(B47,$B$11:B46,1,FALSE)</f>
        <v>#N/A</v>
      </c>
    </row>
    <row r="48" spans="1:21">
      <c r="A48" s="67"/>
      <c r="B48" s="113">
        <v>9339500</v>
      </c>
      <c r="C48" s="114" t="str">
        <f>IF(Verzie!$E$1="CZK",R48,IF(Verzie!$E$1="SK",T48,IF(Verzie!$E$1="HU",V48,"")))</f>
        <v>WINGLINE L SADA PROFILŮ 1 NOSNÝ + 1 VODICÍ 1200 MM ALU ELOX.</v>
      </c>
      <c r="D48" s="115">
        <v>1</v>
      </c>
      <c r="E48" s="116" t="s">
        <v>27</v>
      </c>
      <c r="F48" s="117"/>
      <c r="G48" s="212">
        <f>IF(Verzie!$E$1="CZK",S48,IF(OR(Verzie!$E$1="SK",Verzie!$E$1="HU"),U48,""))</f>
        <v>414.54680000000002</v>
      </c>
      <c r="H48" s="91" t="str">
        <f t="shared" si="0"/>
        <v>CZK</v>
      </c>
      <c r="I48" s="120" t="s">
        <v>27</v>
      </c>
      <c r="J48" s="121" t="s">
        <v>27</v>
      </c>
      <c r="L48" s="75">
        <f>G48*(1-'FORM-I'!$V$22/100)</f>
        <v>414.54680000000002</v>
      </c>
      <c r="N48" s="11" t="e">
        <f>VLOOKUP(B48,$B$11:B47,1,FALSE)</f>
        <v>#N/A</v>
      </c>
      <c r="O48" s="300" t="str">
        <f>IF(AND('DATA-WL1'!$AV$43="M",'DATA-WL1'!$AV$50="S",'DATA-WL1'!$AW$44=0),1,"")</f>
        <v/>
      </c>
      <c r="R48" s="11" t="s">
        <v>115</v>
      </c>
      <c r="S48" s="11">
        <v>414.54680000000002</v>
      </c>
      <c r="T48" s="11" t="s">
        <v>116</v>
      </c>
      <c r="U48" s="11">
        <v>16.581900000000001</v>
      </c>
    </row>
    <row r="49" spans="1:21">
      <c r="A49" s="102"/>
      <c r="B49" s="85">
        <v>9279168</v>
      </c>
      <c r="C49" s="86" t="str">
        <f>IF(Verzie!$E$1="CZK",R49,IF(Verzie!$E$1="SK",T49,IF(Verzie!$E$1="HU",V49,"")))</f>
        <v xml:space="preserve">WINGLINE L SADA PROFILŮ 1 NOSNÝ + 1 VODICÍ BÍLÝ 1200 MM </v>
      </c>
      <c r="D49" s="87">
        <v>1</v>
      </c>
      <c r="E49" s="88" t="s">
        <v>27</v>
      </c>
      <c r="F49" s="89"/>
      <c r="G49" s="90">
        <f>IF(Verzie!$E$1="CZK",S49,IF(OR(Verzie!$E$1="SK",Verzie!$E$1="HU"),U49,""))</f>
        <v>540.74710000000005</v>
      </c>
      <c r="H49" s="91" t="str">
        <f t="shared" si="0"/>
        <v>CZK</v>
      </c>
      <c r="I49" s="210" t="s">
        <v>27</v>
      </c>
      <c r="J49" s="211" t="s">
        <v>27</v>
      </c>
      <c r="L49" s="75">
        <f>G49*(1-'FORM-I'!$V$22/100)</f>
        <v>540.74710000000005</v>
      </c>
      <c r="N49" s="11" t="e">
        <f>VLOOKUP(B49,$B$11:B48,1,FALSE)</f>
        <v>#N/A</v>
      </c>
      <c r="O49" s="300" t="str">
        <f>IF(AND('DATA-WL1'!$AV$43="M",'DATA-WL1'!$AV$50="B",'DATA-WL1'!$AW$44=0),1,"")</f>
        <v/>
      </c>
      <c r="R49" s="11" t="s">
        <v>117</v>
      </c>
      <c r="S49" s="11">
        <v>540.74710000000005</v>
      </c>
      <c r="T49" s="11" t="s">
        <v>118</v>
      </c>
      <c r="U49" s="11">
        <v>21.629899999999999</v>
      </c>
    </row>
    <row r="50" spans="1:21">
      <c r="A50" s="112"/>
      <c r="B50" s="85">
        <v>9339502</v>
      </c>
      <c r="C50" s="86" t="str">
        <f>IF(Verzie!$E$1="CZK",R50,IF(Verzie!$E$1="SK",T50,IF(Verzie!$E$1="HU",V50,"")))</f>
        <v>WINGLINE L SADA PROFILŮ 1 NOSNÝ + 1 VODICÍ 1200 MM ANTRACIT</v>
      </c>
      <c r="D50" s="87">
        <v>1</v>
      </c>
      <c r="E50" s="88" t="s">
        <v>27</v>
      </c>
      <c r="F50" s="89"/>
      <c r="G50" s="90">
        <f>IF(Verzie!$E$1="CZK",S50,IF(OR(Verzie!$E$1="SK",Verzie!$E$1="HU"),U50,""))</f>
        <v>540.74710000000005</v>
      </c>
      <c r="H50" s="91" t="str">
        <f t="shared" si="0"/>
        <v>CZK</v>
      </c>
      <c r="I50" s="210" t="s">
        <v>27</v>
      </c>
      <c r="J50" s="211" t="s">
        <v>27</v>
      </c>
      <c r="L50" s="75">
        <f>G50*(1-'FORM-I'!$V$22/100)</f>
        <v>540.74710000000005</v>
      </c>
      <c r="N50" s="11" t="e">
        <f>VLOOKUP(B50,$B$11:B49,1,FALSE)</f>
        <v>#N/A</v>
      </c>
      <c r="O50" s="300" t="str">
        <f>IF(AND('DATA-WL1'!$AV$43="M",'DATA-WL1'!$AV$50="A",'DATA-WL1'!$AW$44=0),1,"")</f>
        <v/>
      </c>
      <c r="R50" s="11" t="s">
        <v>119</v>
      </c>
      <c r="S50" s="11">
        <v>540.74710000000005</v>
      </c>
      <c r="T50" s="11" t="s">
        <v>120</v>
      </c>
      <c r="U50" s="11">
        <v>21.629899999999999</v>
      </c>
    </row>
    <row r="51" spans="1:21">
      <c r="A51" s="67"/>
      <c r="B51" s="85">
        <v>9339503</v>
      </c>
      <c r="C51" s="86" t="str">
        <f>IF(Verzie!$E$1="CZK",R51,IF(Verzie!$E$1="SK",T51,IF(Verzie!$E$1="HU",V51,"")))</f>
        <v>WINGLINE L SADA PROFILŮ 1 NOSNÝ + 1 VODICÍ 2400 MM ALU ELOX.</v>
      </c>
      <c r="D51" s="87">
        <v>1</v>
      </c>
      <c r="E51" s="88" t="s">
        <v>27</v>
      </c>
      <c r="F51" s="89"/>
      <c r="G51" s="90">
        <f>IF(Verzie!$E$1="CZK",S51,IF(OR(Verzie!$E$1="SK",Verzie!$E$1="HU"),U51,""))</f>
        <v>795.92960000000005</v>
      </c>
      <c r="H51" s="91" t="str">
        <f t="shared" si="0"/>
        <v>CZK</v>
      </c>
      <c r="I51" s="210" t="s">
        <v>27</v>
      </c>
      <c r="J51" s="211" t="s">
        <v>27</v>
      </c>
      <c r="L51" s="75">
        <f>G51*(1-'FORM-I'!$V$22/100)</f>
        <v>795.92960000000005</v>
      </c>
      <c r="N51" s="11" t="e">
        <f>VLOOKUP(B51,$B$11:B50,1,FALSE)</f>
        <v>#N/A</v>
      </c>
      <c r="O51" s="300" t="str">
        <f>IF(AND('DATA-WL1'!$AV$43="V",'DATA-WL1'!$AV$50="S",'DATA-WL1'!$AW$44=0),1,"")</f>
        <v/>
      </c>
      <c r="R51" s="11" t="s">
        <v>121</v>
      </c>
      <c r="S51" s="11">
        <v>795.92960000000005</v>
      </c>
      <c r="T51" s="11" t="s">
        <v>122</v>
      </c>
      <c r="U51" s="11">
        <v>31.837199999999999</v>
      </c>
    </row>
    <row r="52" spans="1:21">
      <c r="A52" s="102"/>
      <c r="B52" s="85">
        <v>9279169</v>
      </c>
      <c r="C52" s="86" t="str">
        <f>IF(Verzie!$E$1="CZK",R52,IF(Verzie!$E$1="SK",T52,IF(Verzie!$E$1="HU",V52,"")))</f>
        <v xml:space="preserve">WINGLINE L SADA PROFILŮ 1 NOSNÝ + 1 VODICÍ BÍLÝ 2400 MM </v>
      </c>
      <c r="D52" s="87">
        <v>1</v>
      </c>
      <c r="E52" s="88" t="s">
        <v>27</v>
      </c>
      <c r="F52" s="89"/>
      <c r="G52" s="90">
        <f>IF(Verzie!$E$1="CZK",S52,IF(OR(Verzie!$E$1="SK",Verzie!$E$1="HU"),U52,""))</f>
        <v>1038.2277000000001</v>
      </c>
      <c r="H52" s="91" t="str">
        <f t="shared" si="0"/>
        <v>CZK</v>
      </c>
      <c r="I52" s="210" t="s">
        <v>27</v>
      </c>
      <c r="J52" s="211" t="s">
        <v>27</v>
      </c>
      <c r="L52" s="75">
        <f>G52*(1-'FORM-I'!$V$22/100)</f>
        <v>1038.2277000000001</v>
      </c>
      <c r="N52" s="11" t="e">
        <f>VLOOKUP(B52,$B$11:B51,1,FALSE)</f>
        <v>#N/A</v>
      </c>
      <c r="O52" s="300" t="str">
        <f>IF(AND('DATA-WL1'!$AV$43="V",'DATA-WL1'!$AV$50="B",'DATA-WL1'!$AW$44=0),1,"")</f>
        <v/>
      </c>
      <c r="R52" s="11" t="s">
        <v>123</v>
      </c>
      <c r="S52" s="11">
        <v>1038.2277000000001</v>
      </c>
      <c r="T52" s="11" t="s">
        <v>124</v>
      </c>
      <c r="U52" s="11">
        <v>41.5291</v>
      </c>
    </row>
    <row r="53" spans="1:21">
      <c r="A53" s="112"/>
      <c r="B53" s="93">
        <v>9339505</v>
      </c>
      <c r="C53" s="94" t="str">
        <f>IF(Verzie!$E$1="CZK",R53,IF(Verzie!$E$1="SK",T53,IF(Verzie!$E$1="HU",V53,"")))</f>
        <v>WINGLINE L SADA PROFILŮ 1 NOSNÝ + 1 VODICÍ 2400 MM ANTRACIT</v>
      </c>
      <c r="D53" s="95">
        <v>1</v>
      </c>
      <c r="E53" s="96" t="s">
        <v>27</v>
      </c>
      <c r="F53" s="97"/>
      <c r="G53" s="98">
        <f>IF(Verzie!$E$1="CZK",S53,IF(OR(Verzie!$E$1="SK",Verzie!$E$1="HU"),U53,""))</f>
        <v>1038.2277000000001</v>
      </c>
      <c r="H53" s="99" t="str">
        <f t="shared" si="0"/>
        <v>CZK</v>
      </c>
      <c r="I53" s="100" t="s">
        <v>27</v>
      </c>
      <c r="J53" s="101" t="s">
        <v>27</v>
      </c>
      <c r="L53" s="75">
        <f>G53*(1-'FORM-I'!$V$22/100)</f>
        <v>1038.2277000000001</v>
      </c>
      <c r="N53" s="11" t="e">
        <f>VLOOKUP(B53,$B$11:B52,1,FALSE)</f>
        <v>#N/A</v>
      </c>
      <c r="O53" s="300" t="str">
        <f>IF(AND('DATA-WL1'!$AV$43="V",'DATA-WL1'!$AV$50="A",'DATA-WL1'!$AW$44=0),1,"")</f>
        <v/>
      </c>
      <c r="R53" s="11" t="s">
        <v>125</v>
      </c>
      <c r="S53" s="11">
        <v>1038.2277000000001</v>
      </c>
      <c r="T53" s="11" t="s">
        <v>126</v>
      </c>
      <c r="U53" s="11">
        <v>41.5291</v>
      </c>
    </row>
    <row r="54" spans="1:21">
      <c r="A54" s="67"/>
      <c r="B54" s="85">
        <v>9339507</v>
      </c>
      <c r="C54" s="86" t="str">
        <f>IF(Verzie!$E$1="CZK",R54,IF(Verzie!$E$1="SK",T54,IF(Verzie!$E$1="HU",V54,"")))</f>
        <v>WINGLINE L SADA NOSNÝ PROFIL 1200 MM ALU ELOX.</v>
      </c>
      <c r="D54" s="87">
        <v>1</v>
      </c>
      <c r="E54" s="88" t="s">
        <v>27</v>
      </c>
      <c r="F54" s="89"/>
      <c r="G54" s="90">
        <f>IF(Verzie!$E$1="CZK",S54,IF(OR(Verzie!$E$1="SK",Verzie!$E$1="HU"),U54,""))</f>
        <v>317.79400000000004</v>
      </c>
      <c r="H54" s="91" t="str">
        <f t="shared" si="0"/>
        <v>CZK</v>
      </c>
      <c r="I54" s="210" t="s">
        <v>27</v>
      </c>
      <c r="J54" s="211" t="s">
        <v>27</v>
      </c>
      <c r="L54" s="75">
        <f>G54*(1-'FORM-I'!$V$22/100)</f>
        <v>317.79400000000004</v>
      </c>
      <c r="N54" s="11" t="e">
        <f>VLOOKUP(B54,$B$11:B53,1,FALSE)</f>
        <v>#N/A</v>
      </c>
      <c r="O54" s="300" t="str">
        <f>IF(AND('DATA-WL1'!$AV$43="M",'DATA-WL1'!$AV$50="S",'DATA-WL1'!$AW$44="BEZ"),1,"")</f>
        <v/>
      </c>
      <c r="R54" s="11" t="s">
        <v>127</v>
      </c>
      <c r="S54" s="11">
        <v>317.79400000000004</v>
      </c>
      <c r="T54" s="11" t="s">
        <v>128</v>
      </c>
      <c r="U54" s="11">
        <v>12.7118</v>
      </c>
    </row>
    <row r="55" spans="1:21">
      <c r="A55" s="102"/>
      <c r="B55" s="85">
        <v>9279166</v>
      </c>
      <c r="C55" s="86" t="str">
        <f>IF(Verzie!$E$1="CZK",R55,IF(Verzie!$E$1="SK",T55,IF(Verzie!$E$1="HU",V55,"")))</f>
        <v>WINGLINE L NOSNÝ PROFIL 1200 MM BÍLÝ</v>
      </c>
      <c r="D55" s="87">
        <v>1</v>
      </c>
      <c r="E55" s="88" t="s">
        <v>27</v>
      </c>
      <c r="F55" s="89"/>
      <c r="G55" s="90">
        <f>IF(Verzie!$E$1="CZK",S55,IF(OR(Verzie!$E$1="SK",Verzie!$E$1="HU"),U55,""))</f>
        <v>414.53930000000003</v>
      </c>
      <c r="H55" s="91" t="str">
        <f t="shared" si="0"/>
        <v>CZK</v>
      </c>
      <c r="I55" s="210" t="s">
        <v>27</v>
      </c>
      <c r="J55" s="211" t="s">
        <v>27</v>
      </c>
      <c r="L55" s="75">
        <f>G55*(1-'FORM-I'!$V$22/100)</f>
        <v>414.53930000000003</v>
      </c>
      <c r="N55" s="11" t="e">
        <f>VLOOKUP(B55,$B$11:B54,1,FALSE)</f>
        <v>#N/A</v>
      </c>
      <c r="O55" s="300" t="str">
        <f>IF(AND('DATA-WL1'!$AV$43="M",'DATA-WL1'!$AV$50="B",'DATA-WL1'!$AW$44="BEZ"),1,"")</f>
        <v/>
      </c>
      <c r="R55" s="11" t="s">
        <v>129</v>
      </c>
      <c r="S55" s="11">
        <v>414.53930000000003</v>
      </c>
      <c r="T55" s="11" t="s">
        <v>130</v>
      </c>
      <c r="U55" s="11">
        <v>16.581600000000002</v>
      </c>
    </row>
    <row r="56" spans="1:21">
      <c r="A56" s="112"/>
      <c r="B56" s="85">
        <v>9339509</v>
      </c>
      <c r="C56" s="86" t="str">
        <f>IF(Verzie!$E$1="CZK",R56,IF(Verzie!$E$1="SK",T56,IF(Verzie!$E$1="HU",V56,"")))</f>
        <v>WINGLINE L SADA NOSNÝ PROFIL 1200 MM ANTRACIT</v>
      </c>
      <c r="D56" s="87">
        <v>1</v>
      </c>
      <c r="E56" s="88" t="s">
        <v>27</v>
      </c>
      <c r="F56" s="89"/>
      <c r="G56" s="90">
        <f>IF(Verzie!$E$1="CZK",S56,IF(OR(Verzie!$E$1="SK",Verzie!$E$1="HU"),U56,""))</f>
        <v>414.53930000000003</v>
      </c>
      <c r="H56" s="91" t="str">
        <f t="shared" si="0"/>
        <v>CZK</v>
      </c>
      <c r="I56" s="210" t="s">
        <v>27</v>
      </c>
      <c r="J56" s="211" t="s">
        <v>27</v>
      </c>
      <c r="L56" s="75">
        <f>G56*(1-'FORM-I'!$V$22/100)</f>
        <v>414.53930000000003</v>
      </c>
      <c r="N56" s="11" t="e">
        <f>VLOOKUP(B56,$B$11:B55,1,FALSE)</f>
        <v>#N/A</v>
      </c>
      <c r="O56" s="300" t="str">
        <f>IF(AND('DATA-WL1'!$AV$43="M",'DATA-WL1'!$AV$50="A",'DATA-WL1'!$AW$44="BEZ"),1,"")</f>
        <v/>
      </c>
      <c r="R56" s="11" t="s">
        <v>131</v>
      </c>
      <c r="S56" s="11">
        <v>414.53930000000003</v>
      </c>
      <c r="T56" s="11" t="s">
        <v>132</v>
      </c>
      <c r="U56" s="11">
        <v>16.581600000000002</v>
      </c>
    </row>
    <row r="57" spans="1:21">
      <c r="A57" s="67"/>
      <c r="B57" s="85">
        <v>9339510</v>
      </c>
      <c r="C57" s="86" t="str">
        <f>IF(Verzie!$E$1="CZK",R57,IF(Verzie!$E$1="SK",T57,IF(Verzie!$E$1="HU",V57,"")))</f>
        <v>WINGLINE L SADA NOSNÝ PROFIL 2400 MM ALU ELOX.</v>
      </c>
      <c r="D57" s="87">
        <v>1</v>
      </c>
      <c r="E57" s="88" t="s">
        <v>27</v>
      </c>
      <c r="F57" s="89"/>
      <c r="G57" s="90">
        <f>IF(Verzie!$E$1="CZK",S57,IF(OR(Verzie!$E$1="SK",Verzie!$E$1="HU"),U57,""))</f>
        <v>644.8057</v>
      </c>
      <c r="H57" s="91" t="str">
        <f t="shared" si="0"/>
        <v>CZK</v>
      </c>
      <c r="I57" s="210" t="s">
        <v>27</v>
      </c>
      <c r="J57" s="211" t="s">
        <v>27</v>
      </c>
      <c r="L57" s="75">
        <f>G57*(1-'FORM-I'!$V$22/100)</f>
        <v>644.8057</v>
      </c>
      <c r="N57" s="11" t="e">
        <f>VLOOKUP(B57,$B$11:B56,1,FALSE)</f>
        <v>#N/A</v>
      </c>
      <c r="O57" s="300" t="str">
        <f>IF(AND('DATA-WL1'!$AV$43="V",'DATA-WL1'!$AV$50="S",'DATA-WL1'!$AW$44="BEZ"),1,"")</f>
        <v/>
      </c>
      <c r="R57" s="11" t="s">
        <v>133</v>
      </c>
      <c r="S57" s="11">
        <v>644.8057</v>
      </c>
      <c r="T57" s="11" t="s">
        <v>134</v>
      </c>
      <c r="U57" s="11">
        <v>25.792199999999998</v>
      </c>
    </row>
    <row r="58" spans="1:21">
      <c r="A58" s="102"/>
      <c r="B58" s="85">
        <v>9279170</v>
      </c>
      <c r="C58" s="86" t="str">
        <f>IF(Verzie!$E$1="CZK",R58,IF(Verzie!$E$1="SK",T58,IF(Verzie!$E$1="HU",V58,"")))</f>
        <v>WINGLINE L NOSNÝ PROFIL 2400 MM BÍLÝ</v>
      </c>
      <c r="D58" s="87">
        <v>1</v>
      </c>
      <c r="E58" s="88" t="s">
        <v>27</v>
      </c>
      <c r="F58" s="89"/>
      <c r="G58" s="90">
        <f>IF(Verzie!$E$1="CZK",S58,IF(OR(Verzie!$E$1="SK",Verzie!$E$1="HU"),U58,""))</f>
        <v>841.09800000000007</v>
      </c>
      <c r="H58" s="91" t="str">
        <f t="shared" si="0"/>
        <v>CZK</v>
      </c>
      <c r="I58" s="210" t="s">
        <v>27</v>
      </c>
      <c r="J58" s="211" t="s">
        <v>27</v>
      </c>
      <c r="L58" s="75">
        <f>G58*(1-'FORM-I'!$V$22/100)</f>
        <v>841.09800000000007</v>
      </c>
      <c r="N58" s="11" t="e">
        <f>VLOOKUP(B58,$B$11:B57,1,FALSE)</f>
        <v>#N/A</v>
      </c>
      <c r="O58" s="300" t="str">
        <f>IF(AND('DATA-WL1'!$AV$43="V",'DATA-WL1'!$AV$50="B",'DATA-WL1'!$AW$44="BEZ"),1,"")</f>
        <v/>
      </c>
      <c r="R58" s="11" t="s">
        <v>135</v>
      </c>
      <c r="S58" s="11">
        <v>841.09800000000007</v>
      </c>
      <c r="T58" s="11" t="s">
        <v>136</v>
      </c>
      <c r="U58" s="11">
        <v>33.643900000000002</v>
      </c>
    </row>
    <row r="59" spans="1:21">
      <c r="A59" s="112"/>
      <c r="B59" s="93">
        <v>9339512</v>
      </c>
      <c r="C59" s="94" t="str">
        <f>IF(Verzie!$E$1="CZK",R59,IF(Verzie!$E$1="SK",T59,IF(Verzie!$E$1="HU",V59,"")))</f>
        <v>WINGLINE L SADA NOSNÝ PROFIL 2400 MM ANTRACIT</v>
      </c>
      <c r="D59" s="95">
        <v>1</v>
      </c>
      <c r="E59" s="96" t="s">
        <v>27</v>
      </c>
      <c r="F59" s="97"/>
      <c r="G59" s="98">
        <f>IF(Verzie!$E$1="CZK",S59,IF(OR(Verzie!$E$1="SK",Verzie!$E$1="HU"),U59,""))</f>
        <v>841.09800000000007</v>
      </c>
      <c r="H59" s="99" t="str">
        <f t="shared" si="0"/>
        <v>CZK</v>
      </c>
      <c r="I59" s="100" t="s">
        <v>27</v>
      </c>
      <c r="J59" s="101" t="s">
        <v>27</v>
      </c>
      <c r="L59" s="75">
        <f>G59*(1-'FORM-I'!$V$22/100)</f>
        <v>841.09800000000007</v>
      </c>
      <c r="N59" s="11" t="e">
        <f>VLOOKUP(B59,$B$11:B58,1,FALSE)</f>
        <v>#N/A</v>
      </c>
      <c r="O59" s="300" t="str">
        <f>IF(AND('DATA-WL1'!$AV$43="V",'DATA-WL1'!$AV$50="A",'DATA-WL1'!$AW$44="BEZ"),1,"")</f>
        <v/>
      </c>
      <c r="R59" s="11" t="s">
        <v>137</v>
      </c>
      <c r="S59" s="11">
        <v>841.09800000000007</v>
      </c>
      <c r="T59" s="11" t="s">
        <v>138</v>
      </c>
      <c r="U59" s="11">
        <v>33.643900000000002</v>
      </c>
    </row>
    <row r="60" spans="1:21">
      <c r="B60" s="213"/>
      <c r="C60" s="214"/>
      <c r="D60" s="167"/>
      <c r="E60" s="168"/>
      <c r="F60" s="169"/>
      <c r="G60" s="170"/>
      <c r="H60" s="171" t="str">
        <f t="shared" si="0"/>
        <v/>
      </c>
      <c r="I60" s="215" t="s">
        <v>27</v>
      </c>
      <c r="J60" s="216" t="s">
        <v>27</v>
      </c>
      <c r="L60" s="75">
        <f>G60*(1-'FORM-I'!$V$22/100)</f>
        <v>0</v>
      </c>
      <c r="N60" s="11" t="e">
        <f>VLOOKUP(B60,$B$11:B59,1,FALSE)</f>
        <v>#N/A</v>
      </c>
    </row>
    <row r="61" spans="1:21">
      <c r="B61" s="113">
        <v>9278694</v>
      </c>
      <c r="C61" s="114" t="str">
        <f>IF(Verzie!$E$1="CZK",R61,IF(Verzie!$E$1="SK",T61,IF(Verzie!$E$1="HU",V61,"")))</f>
        <v>STŘEDOVÝ ZÁVĚS SEŘIDITELNÝ, K NAŠROUBOVÁNÍ, SADA 2 KS</v>
      </c>
      <c r="D61" s="115">
        <v>1</v>
      </c>
      <c r="E61" s="116" t="s">
        <v>27</v>
      </c>
      <c r="F61" s="117"/>
      <c r="G61" s="118">
        <f>IF(Verzie!$E$1="CZK",S61,IF(OR(Verzie!$E$1="SK",Verzie!$E$1="HU"),U61,""))</f>
        <v>328.03109999999998</v>
      </c>
      <c r="H61" s="119" t="str">
        <f t="shared" si="0"/>
        <v>CZK</v>
      </c>
      <c r="I61" s="120" t="s">
        <v>27</v>
      </c>
      <c r="J61" s="121" t="s">
        <v>27</v>
      </c>
      <c r="L61" s="75">
        <f>G61*(1-'FORM-I'!$V$22/100)</f>
        <v>328.03109999999998</v>
      </c>
      <c r="N61" s="11" t="e">
        <f>VLOOKUP(B61,$B$11:B60,1,FALSE)</f>
        <v>#N/A</v>
      </c>
      <c r="O61" s="300" t="str">
        <f t="shared" ref="O61:O62" si="1">IF(ISERROR(P61*Q61),"",IF((P61*Q61)=0,"",P61*Q61))</f>
        <v/>
      </c>
      <c r="P61" s="300" t="str">
        <f>IF('DATA-WL4'!$AV$37="AA",1,"")</f>
        <v/>
      </c>
      <c r="Q61" s="300" t="e">
        <f>'DATA-WL4'!$AW$37*'DATA-WL1'!$AW$34</f>
        <v>#VALUE!</v>
      </c>
      <c r="R61" s="11" t="s">
        <v>139</v>
      </c>
      <c r="S61" s="11">
        <v>328.03109999999998</v>
      </c>
      <c r="T61" s="11" t="s">
        <v>140</v>
      </c>
      <c r="U61" s="11">
        <v>13.121199999999998</v>
      </c>
    </row>
    <row r="62" spans="1:21">
      <c r="B62" s="85">
        <v>9278788</v>
      </c>
      <c r="C62" s="86" t="str">
        <f>IF(Verzie!$E$1="CZK",R62,IF(Verzie!$E$1="SK",T62,IF(Verzie!$E$1="HU",V62,"")))</f>
        <v>STŘEDOVÝ ZÁVĚS SEŘIDITELNÝ, K ZALISOVÁNÍ SADA 2 KS</v>
      </c>
      <c r="D62" s="87">
        <v>1</v>
      </c>
      <c r="E62" s="88" t="s">
        <v>27</v>
      </c>
      <c r="F62" s="89"/>
      <c r="G62" s="90">
        <f>IF(Verzie!$E$1="CZK",S62,IF(OR(Verzie!$E$1="SK",Verzie!$E$1="HU"),U62,""))</f>
        <v>343.03910000000002</v>
      </c>
      <c r="H62" s="91" t="str">
        <f t="shared" si="0"/>
        <v>CZK</v>
      </c>
      <c r="I62" s="210" t="s">
        <v>27</v>
      </c>
      <c r="J62" s="211" t="s">
        <v>27</v>
      </c>
      <c r="L62" s="75">
        <f>G62*(1-'FORM-I'!$V$22/100)</f>
        <v>343.03910000000002</v>
      </c>
      <c r="N62" s="11" t="e">
        <f>VLOOKUP(B62,$B$11:B61,1,FALSE)</f>
        <v>#N/A</v>
      </c>
      <c r="O62" s="300" t="str">
        <f t="shared" si="1"/>
        <v/>
      </c>
      <c r="P62" s="300" t="str">
        <f>IF('DATA-WL4'!$AV$37="BB",1,"")</f>
        <v/>
      </c>
      <c r="Q62" s="300" t="e">
        <f>'DATA-WL4'!$AW$37*'DATA-WL1'!$AW$34</f>
        <v>#VALUE!</v>
      </c>
      <c r="R62" s="11" t="s">
        <v>141</v>
      </c>
      <c r="S62" s="11">
        <v>343.03910000000002</v>
      </c>
      <c r="T62" s="11" t="s">
        <v>142</v>
      </c>
      <c r="U62" s="11">
        <v>13.7216</v>
      </c>
    </row>
    <row r="63" spans="1:21">
      <c r="B63" s="85">
        <v>9278742</v>
      </c>
      <c r="C63" s="86" t="str">
        <f>IF(Verzie!$E$1="CZK",R63,IF(Verzie!$E$1="SK",T63,IF(Verzie!$E$1="HU",V63,"")))</f>
        <v>STŘEDOVÝ ZÁVĚS SEŘIDITELNÝ, K NAŠROUBOVÁNÍ, SADA 3 KS</v>
      </c>
      <c r="D63" s="87">
        <v>1</v>
      </c>
      <c r="E63" s="88" t="s">
        <v>27</v>
      </c>
      <c r="F63" s="89"/>
      <c r="G63" s="90">
        <f>IF(Verzie!$E$1="CZK",S63,IF(OR(Verzie!$E$1="SK",Verzie!$E$1="HU"),U63,""))</f>
        <v>492.03179999999998</v>
      </c>
      <c r="H63" s="91" t="str">
        <f t="shared" si="0"/>
        <v>CZK</v>
      </c>
      <c r="I63" s="210" t="s">
        <v>27</v>
      </c>
      <c r="J63" s="211" t="s">
        <v>27</v>
      </c>
      <c r="L63" s="75">
        <f>G63*(1-'FORM-I'!$V$22/100)</f>
        <v>492.03179999999998</v>
      </c>
      <c r="N63" s="11" t="e">
        <f>VLOOKUP(B63,$B$11:B62,1,FALSE)</f>
        <v>#N/A</v>
      </c>
      <c r="O63" s="300" t="str">
        <f>IF(ISERROR(P63*Q63),"",IF((P63*Q63)=0,"",P63*Q63))</f>
        <v/>
      </c>
      <c r="P63" s="300" t="str">
        <f>IF('DATA-WL4'!$AV$37="AA",1,"")</f>
        <v/>
      </c>
      <c r="Q63" s="300" t="e">
        <f>'DATA-WL4'!$AW$38*'DATA-WL1'!$AW$34</f>
        <v>#VALUE!</v>
      </c>
      <c r="R63" s="11" t="s">
        <v>143</v>
      </c>
      <c r="S63" s="11">
        <v>492.03179999999998</v>
      </c>
      <c r="T63" s="11" t="s">
        <v>144</v>
      </c>
      <c r="U63" s="11">
        <v>19.6813</v>
      </c>
    </row>
    <row r="64" spans="1:21">
      <c r="B64" s="93">
        <v>9278787</v>
      </c>
      <c r="C64" s="94" t="str">
        <f>IF(Verzie!$E$1="CZK",R64,IF(Verzie!$E$1="SK",T64,IF(Verzie!$E$1="HU",V64,"")))</f>
        <v>STŘEDOVÝ ZÁVĚS SEŘIDITELNÝ, K ZALISOVÁNÍ SADA 3 KS</v>
      </c>
      <c r="D64" s="95">
        <v>1</v>
      </c>
      <c r="E64" s="96" t="s">
        <v>27</v>
      </c>
      <c r="F64" s="97"/>
      <c r="G64" s="98">
        <f>IF(Verzie!$E$1="CZK",S64,IF(OR(Verzie!$E$1="SK",Verzie!$E$1="HU"),U64,""))</f>
        <v>514.54239999999993</v>
      </c>
      <c r="H64" s="99" t="str">
        <f t="shared" si="0"/>
        <v>CZK</v>
      </c>
      <c r="I64" s="100" t="s">
        <v>27</v>
      </c>
      <c r="J64" s="101" t="s">
        <v>27</v>
      </c>
      <c r="L64" s="75">
        <f>G64*(1-'FORM-I'!$V$22/100)</f>
        <v>514.54239999999993</v>
      </c>
      <c r="N64" s="11" t="e">
        <f>VLOOKUP(B64,$B$11:B63,1,FALSE)</f>
        <v>#N/A</v>
      </c>
      <c r="O64" s="300" t="str">
        <f t="shared" ref="O64:O104" si="2">IF(ISERROR(P64*Q64),"",IF((P64*Q64)=0,"",P64*Q64))</f>
        <v/>
      </c>
      <c r="P64" s="300" t="str">
        <f>IF('DATA-WL4'!$AV$37="BB",1,"")</f>
        <v/>
      </c>
      <c r="Q64" s="300" t="e">
        <f>'DATA-WL4'!$AW$38*'DATA-WL1'!$AW$34</f>
        <v>#VALUE!</v>
      </c>
      <c r="R64" s="11" t="s">
        <v>145</v>
      </c>
      <c r="S64" s="11">
        <v>514.54239999999993</v>
      </c>
      <c r="T64" s="11" t="s">
        <v>146</v>
      </c>
      <c r="U64" s="11">
        <v>20.581700000000001</v>
      </c>
    </row>
    <row r="65" spans="1:21">
      <c r="B65" s="85">
        <v>9339492</v>
      </c>
      <c r="C65" s="86" t="str">
        <f>IF(Verzie!$E$1="CZK",R65,IF(Verzie!$E$1="SK",T65,IF(Verzie!$E$1="HU",V65,"")))</f>
        <v>WINGLINE L STŘEDOVÝ ZÁVĚS KLIPOVÝ SEŘIDITELNÝ SADA 2KS ŠEDÝ</v>
      </c>
      <c r="D65" s="87">
        <v>1</v>
      </c>
      <c r="E65" s="88" t="s">
        <v>27</v>
      </c>
      <c r="F65" s="89"/>
      <c r="G65" s="90">
        <f>IF(Verzie!$E$1="CZK",S65,IF(OR(Verzie!$E$1="SK",Verzie!$E$1="HU"),U65,""))</f>
        <v>131.27280000000002</v>
      </c>
      <c r="H65" s="91" t="str">
        <f t="shared" si="0"/>
        <v>CZK</v>
      </c>
      <c r="I65" s="210" t="s">
        <v>27</v>
      </c>
      <c r="J65" s="211" t="s">
        <v>27</v>
      </c>
      <c r="L65" s="75">
        <f>G65*(1-'FORM-I'!$V$22/100)</f>
        <v>131.27280000000002</v>
      </c>
      <c r="N65" s="11" t="e">
        <f>VLOOKUP(B65,$B$11:B64,1,FALSE)</f>
        <v>#N/A</v>
      </c>
      <c r="O65" s="300" t="str">
        <f t="shared" si="2"/>
        <v/>
      </c>
      <c r="P65" s="300" t="str">
        <f>IF(AND('DATA-WL4'!$AV$37="CC",'DATA-WL1'!$AV$50="S"),1,"")</f>
        <v/>
      </c>
      <c r="Q65" s="300" t="e">
        <f>'DATA-WL4'!$AW$37*'DATA-WL1'!$AW$34</f>
        <v>#VALUE!</v>
      </c>
      <c r="R65" s="11" t="s">
        <v>147</v>
      </c>
      <c r="S65" s="11">
        <v>131.27280000000002</v>
      </c>
      <c r="T65" s="11" t="s">
        <v>148</v>
      </c>
      <c r="U65" s="11">
        <v>5.2509000000000006</v>
      </c>
    </row>
    <row r="66" spans="1:21">
      <c r="B66" s="85">
        <v>9339493</v>
      </c>
      <c r="C66" s="86" t="str">
        <f>IF(Verzie!$E$1="CZK",R66,IF(Verzie!$E$1="SK",T66,IF(Verzie!$E$1="HU",V66,"")))</f>
        <v>WINGLINE L STŘEDOVÝ ZÁVĚS KLIPOVÝ SEŘIDITELNÝ SADA 2KS BÍLÝ</v>
      </c>
      <c r="D66" s="87">
        <v>1</v>
      </c>
      <c r="E66" s="88" t="s">
        <v>27</v>
      </c>
      <c r="F66" s="89"/>
      <c r="G66" s="90">
        <f>IF(Verzie!$E$1="CZK",S66,IF(OR(Verzie!$E$1="SK",Verzie!$E$1="HU"),U66,""))</f>
        <v>144.3888</v>
      </c>
      <c r="H66" s="91" t="str">
        <f t="shared" si="0"/>
        <v>CZK</v>
      </c>
      <c r="I66" s="210" t="s">
        <v>27</v>
      </c>
      <c r="J66" s="211" t="s">
        <v>27</v>
      </c>
      <c r="L66" s="75">
        <f>G66*(1-'FORM-I'!$V$22/100)</f>
        <v>144.3888</v>
      </c>
      <c r="N66" s="11" t="e">
        <f>VLOOKUP(B66,$B$11:B65,1,FALSE)</f>
        <v>#N/A</v>
      </c>
      <c r="O66" s="300" t="str">
        <f t="shared" si="2"/>
        <v/>
      </c>
      <c r="P66" s="300" t="str">
        <f>IF(AND('DATA-WL4'!$AV$37="CC",'DATA-WL1'!$AV$50="B"),1,"")</f>
        <v/>
      </c>
      <c r="Q66" s="300" t="e">
        <f>'DATA-WL4'!$AW$37*'DATA-WL1'!$AW$34</f>
        <v>#VALUE!</v>
      </c>
      <c r="R66" s="11" t="s">
        <v>149</v>
      </c>
      <c r="S66" s="11">
        <v>144.3888</v>
      </c>
      <c r="T66" s="11" t="s">
        <v>150</v>
      </c>
      <c r="U66" s="11">
        <v>5.7755999999999998</v>
      </c>
    </row>
    <row r="67" spans="1:21">
      <c r="B67" s="85">
        <v>9339494</v>
      </c>
      <c r="C67" s="86" t="str">
        <f>IF(Verzie!$E$1="CZK",R67,IF(Verzie!$E$1="SK",T67,IF(Verzie!$E$1="HU",V67,"")))</f>
        <v>WINGLINE L STŘEDOVÝ ZÁVĚS KLIPOVÝ SEŘIDITELNÝ SADA 2KS ANTRACIT</v>
      </c>
      <c r="D67" s="87">
        <v>1</v>
      </c>
      <c r="E67" s="88" t="s">
        <v>27</v>
      </c>
      <c r="F67" s="89"/>
      <c r="G67" s="90">
        <f>IF(Verzie!$E$1="CZK",S67,IF(OR(Verzie!$E$1="SK",Verzie!$E$1="HU"),U67,""))</f>
        <v>144.3888</v>
      </c>
      <c r="H67" s="91" t="str">
        <f t="shared" si="0"/>
        <v>CZK</v>
      </c>
      <c r="I67" s="210" t="s">
        <v>27</v>
      </c>
      <c r="J67" s="211" t="s">
        <v>27</v>
      </c>
      <c r="L67" s="75">
        <f>G67*(1-'FORM-I'!$V$22/100)</f>
        <v>144.3888</v>
      </c>
      <c r="N67" s="11" t="e">
        <f>VLOOKUP(B67,$B$11:B66,1,FALSE)</f>
        <v>#N/A</v>
      </c>
      <c r="O67" s="300" t="str">
        <f t="shared" si="2"/>
        <v/>
      </c>
      <c r="P67" s="300" t="str">
        <f>IF(AND('DATA-WL4'!$AV$37="CC",'DATA-WL1'!$AV$50="A"),1,"")</f>
        <v/>
      </c>
      <c r="Q67" s="300" t="e">
        <f>'DATA-WL4'!$AW$37*'DATA-WL1'!$AW$34</f>
        <v>#VALUE!</v>
      </c>
      <c r="R67" s="11" t="s">
        <v>151</v>
      </c>
      <c r="S67" s="11">
        <v>144.3888</v>
      </c>
      <c r="T67" s="11" t="s">
        <v>152</v>
      </c>
      <c r="U67" s="11">
        <v>5.7755999999999998</v>
      </c>
    </row>
    <row r="68" spans="1:21">
      <c r="B68" s="85">
        <v>9339496</v>
      </c>
      <c r="C68" s="86" t="str">
        <f>IF(Verzie!$E$1="CZK",R68,IF(Verzie!$E$1="SK",T68,IF(Verzie!$E$1="HU",V68,"")))</f>
        <v>WINGLINE L STŘEDOVÝ ZÁVĚS KLIPOVÝ SEŘIDITELNÝ SADA 3KS ŠEDÝ</v>
      </c>
      <c r="D68" s="87">
        <v>1</v>
      </c>
      <c r="E68" s="88" t="s">
        <v>27</v>
      </c>
      <c r="F68" s="89"/>
      <c r="G68" s="90">
        <f>IF(Verzie!$E$1="CZK",S68,IF(OR(Verzie!$E$1="SK",Verzie!$E$1="HU"),U68,""))</f>
        <v>196.90040000000002</v>
      </c>
      <c r="H68" s="91" t="str">
        <f t="shared" si="0"/>
        <v>CZK</v>
      </c>
      <c r="I68" s="210" t="s">
        <v>27</v>
      </c>
      <c r="J68" s="211" t="s">
        <v>27</v>
      </c>
      <c r="L68" s="75">
        <f>G68*(1-'FORM-I'!$V$22/100)</f>
        <v>196.90040000000002</v>
      </c>
      <c r="N68" s="11" t="e">
        <f>VLOOKUP(B68,$B$11:B67,1,FALSE)</f>
        <v>#N/A</v>
      </c>
      <c r="O68" s="300" t="str">
        <f t="shared" si="2"/>
        <v/>
      </c>
      <c r="P68" s="300" t="str">
        <f>IF(AND('DATA-WL4'!$AV$37="CC",'DATA-WL1'!$AV$50="S"),1,"")</f>
        <v/>
      </c>
      <c r="Q68" s="300" t="e">
        <f>'DATA-WL4'!$AW$38*'DATA-WL1'!$AW$34</f>
        <v>#VALUE!</v>
      </c>
      <c r="R68" s="11" t="s">
        <v>153</v>
      </c>
      <c r="S68" s="11">
        <v>196.90040000000002</v>
      </c>
      <c r="T68" s="11" t="s">
        <v>154</v>
      </c>
      <c r="U68" s="11">
        <v>7.8760000000000003</v>
      </c>
    </row>
    <row r="69" spans="1:21">
      <c r="B69" s="85">
        <v>9339498</v>
      </c>
      <c r="C69" s="86" t="str">
        <f>IF(Verzie!$E$1="CZK",R69,IF(Verzie!$E$1="SK",T69,IF(Verzie!$E$1="HU",V69,"")))</f>
        <v>WINGLINE L STŘEDOVÝ ZÁVĚS KLIPOVÝ SEŘIDITELNÝ SADA 3KS BÍLÝ</v>
      </c>
      <c r="D69" s="87">
        <v>1</v>
      </c>
      <c r="E69" s="88" t="s">
        <v>27</v>
      </c>
      <c r="F69" s="89"/>
      <c r="G69" s="90">
        <f>IF(Verzie!$E$1="CZK",S69,IF(OR(Verzie!$E$1="SK",Verzie!$E$1="HU"),U69,""))</f>
        <v>216.59200000000001</v>
      </c>
      <c r="H69" s="91" t="str">
        <f t="shared" si="0"/>
        <v>CZK</v>
      </c>
      <c r="I69" s="210" t="s">
        <v>27</v>
      </c>
      <c r="J69" s="211" t="s">
        <v>27</v>
      </c>
      <c r="L69" s="75">
        <f>G69*(1-'FORM-I'!$V$22/100)</f>
        <v>216.59200000000001</v>
      </c>
      <c r="N69" s="11" t="e">
        <f>VLOOKUP(B69,$B$11:B68,1,FALSE)</f>
        <v>#N/A</v>
      </c>
      <c r="O69" s="300" t="str">
        <f t="shared" si="2"/>
        <v/>
      </c>
      <c r="P69" s="300" t="str">
        <f>IF(AND('DATA-WL4'!$AV$37="CC",'DATA-WL1'!$AV$50="B"),1,"")</f>
        <v/>
      </c>
      <c r="Q69" s="300" t="e">
        <f>'DATA-WL4'!$AW$38*'DATA-WL1'!$AW$34</f>
        <v>#VALUE!</v>
      </c>
      <c r="R69" s="11" t="s">
        <v>155</v>
      </c>
      <c r="S69" s="11">
        <v>216.59200000000001</v>
      </c>
      <c r="T69" s="11" t="s">
        <v>156</v>
      </c>
      <c r="U69" s="11">
        <v>8.6637000000000004</v>
      </c>
    </row>
    <row r="70" spans="1:21">
      <c r="B70" s="93">
        <v>9339499</v>
      </c>
      <c r="C70" s="94" t="str">
        <f>IF(Verzie!$E$1="CZK",R70,IF(Verzie!$E$1="SK",T70,IF(Verzie!$E$1="HU",V70,"")))</f>
        <v>WINGLINE L STŘEDOVÝ ZÁVĚS KLIPOVÝ SEŘIDITELNÝ SADA 3KS ANTRACIT</v>
      </c>
      <c r="D70" s="95">
        <v>1</v>
      </c>
      <c r="E70" s="96" t="s">
        <v>27</v>
      </c>
      <c r="F70" s="97"/>
      <c r="G70" s="98">
        <f>IF(Verzie!$E$1="CZK",S70,IF(OR(Verzie!$E$1="SK",Verzie!$E$1="HU"),U70,""))</f>
        <v>216.59200000000001</v>
      </c>
      <c r="H70" s="99" t="str">
        <f t="shared" si="0"/>
        <v>CZK</v>
      </c>
      <c r="I70" s="100" t="s">
        <v>27</v>
      </c>
      <c r="J70" s="101" t="s">
        <v>27</v>
      </c>
      <c r="L70" s="75">
        <f>G70*(1-'FORM-I'!$V$22/100)</f>
        <v>216.59200000000001</v>
      </c>
      <c r="N70" s="11" t="e">
        <f>VLOOKUP(B70,$B$11:B69,1,FALSE)</f>
        <v>#N/A</v>
      </c>
      <c r="O70" s="300" t="str">
        <f t="shared" si="2"/>
        <v/>
      </c>
      <c r="P70" s="300" t="str">
        <f>IF(AND('DATA-WL4'!$AV$37="CC",'DATA-WL1'!$AV$50="A"),1,"")</f>
        <v/>
      </c>
      <c r="Q70" s="300" t="e">
        <f>'DATA-WL4'!$AW$38*'DATA-WL1'!$AW$34</f>
        <v>#VALUE!</v>
      </c>
      <c r="R70" s="11" t="s">
        <v>157</v>
      </c>
      <c r="S70" s="11">
        <v>216.59200000000001</v>
      </c>
      <c r="T70" s="11" t="s">
        <v>158</v>
      </c>
      <c r="U70" s="11">
        <v>8.6637000000000004</v>
      </c>
    </row>
    <row r="71" spans="1:21">
      <c r="B71" s="85">
        <v>9339480</v>
      </c>
      <c r="C71" s="86" t="str">
        <f>IF(Verzie!$E$1="CZK",R71,IF(Verzie!$E$1="SK",T71,IF(Verzie!$E$1="HU",V71,"")))</f>
        <v>WINGLINE L STŘEDOVÝ ZÁVĚS KLIPOVÝ STANDARDNÍ SADA 2KS ŠEDÝ</v>
      </c>
      <c r="D71" s="87">
        <v>1</v>
      </c>
      <c r="E71" s="88" t="s">
        <v>27</v>
      </c>
      <c r="F71" s="89"/>
      <c r="G71" s="90">
        <f>IF(Verzie!$E$1="CZK",S71,IF(OR(Verzie!$E$1="SK",Verzie!$E$1="HU"),U71,""))</f>
        <v>75.012299999999996</v>
      </c>
      <c r="H71" s="91" t="str">
        <f t="shared" si="0"/>
        <v>CZK</v>
      </c>
      <c r="I71" s="210" t="s">
        <v>27</v>
      </c>
      <c r="J71" s="211" t="s">
        <v>27</v>
      </c>
      <c r="L71" s="75">
        <f>G71*(1-'FORM-I'!$V$22/100)</f>
        <v>75.012299999999996</v>
      </c>
      <c r="N71" s="11" t="e">
        <f>VLOOKUP(B71,$B$11:B70,1,FALSE)</f>
        <v>#N/A</v>
      </c>
      <c r="O71" s="300" t="str">
        <f t="shared" si="2"/>
        <v/>
      </c>
      <c r="P71" s="300" t="str">
        <f>IF(AND('DATA-WL4'!$AV$37="DD",'DATA-WL1'!$AV$50="S"),1,"")</f>
        <v/>
      </c>
      <c r="Q71" s="300" t="e">
        <f>'DATA-WL4'!$AW$37*'DATA-WL1'!$AW$34</f>
        <v>#VALUE!</v>
      </c>
      <c r="R71" s="11" t="s">
        <v>159</v>
      </c>
      <c r="S71" s="11">
        <v>75.012299999999996</v>
      </c>
      <c r="T71" s="11" t="s">
        <v>160</v>
      </c>
      <c r="U71" s="11">
        <v>3.0005000000000002</v>
      </c>
    </row>
    <row r="72" spans="1:21">
      <c r="B72" s="85">
        <v>9339484</v>
      </c>
      <c r="C72" s="86" t="str">
        <f>IF(Verzie!$E$1="CZK",R72,IF(Verzie!$E$1="SK",T72,IF(Verzie!$E$1="HU",V72,"")))</f>
        <v>WINGLINE L STŘEDOVÝ ZÁVĚS KLIPOVÝ STANDARDNÍ SADA 2KS BÍLÝ</v>
      </c>
      <c r="D72" s="87">
        <v>1</v>
      </c>
      <c r="E72" s="88" t="s">
        <v>27</v>
      </c>
      <c r="F72" s="89"/>
      <c r="G72" s="90">
        <f>IF(Verzie!$E$1="CZK",S72,IF(OR(Verzie!$E$1="SK",Verzie!$E$1="HU"),U72,""))</f>
        <v>82.507599999999996</v>
      </c>
      <c r="H72" s="91" t="str">
        <f t="shared" si="0"/>
        <v>CZK</v>
      </c>
      <c r="I72" s="210" t="s">
        <v>27</v>
      </c>
      <c r="J72" s="211" t="s">
        <v>27</v>
      </c>
      <c r="L72" s="75">
        <f>G72*(1-'FORM-I'!$V$22/100)</f>
        <v>82.507599999999996</v>
      </c>
      <c r="N72" s="11" t="e">
        <f>VLOOKUP(B72,$B$11:B71,1,FALSE)</f>
        <v>#N/A</v>
      </c>
      <c r="O72" s="300" t="str">
        <f t="shared" si="2"/>
        <v/>
      </c>
      <c r="P72" s="300" t="str">
        <f>IF(AND('DATA-WL4'!$AV$37="DD",'DATA-WL1'!$AV$50="B"),1,"")</f>
        <v/>
      </c>
      <c r="Q72" s="300" t="e">
        <f>'DATA-WL4'!$AW$37*'DATA-WL1'!$AW$34</f>
        <v>#VALUE!</v>
      </c>
      <c r="R72" s="11" t="s">
        <v>161</v>
      </c>
      <c r="S72" s="11">
        <v>82.507599999999996</v>
      </c>
      <c r="T72" s="11" t="s">
        <v>162</v>
      </c>
      <c r="U72" s="11">
        <v>3.3002999999999996</v>
      </c>
    </row>
    <row r="73" spans="1:21">
      <c r="B73" s="85">
        <v>9339485</v>
      </c>
      <c r="C73" s="86" t="str">
        <f>IF(Verzie!$E$1="CZK",R73,IF(Verzie!$E$1="SK",T73,IF(Verzie!$E$1="HU",V73,"")))</f>
        <v>WINGLINE L STŘEDOVÝ ZÁVĚS KLIPOVÝ STANDARDNÍ SADA 2KS ANTRACIT</v>
      </c>
      <c r="D73" s="87">
        <v>1</v>
      </c>
      <c r="E73" s="88" t="s">
        <v>27</v>
      </c>
      <c r="F73" s="89"/>
      <c r="G73" s="90">
        <f>IF(Verzie!$E$1="CZK",S73,IF(OR(Verzie!$E$1="SK",Verzie!$E$1="HU"),U73,""))</f>
        <v>82.507599999999996</v>
      </c>
      <c r="H73" s="91" t="str">
        <f t="shared" si="0"/>
        <v>CZK</v>
      </c>
      <c r="I73" s="210" t="s">
        <v>27</v>
      </c>
      <c r="J73" s="211" t="s">
        <v>27</v>
      </c>
      <c r="L73" s="75">
        <f>G73*(1-'FORM-I'!$V$22/100)</f>
        <v>82.507599999999996</v>
      </c>
      <c r="N73" s="11" t="e">
        <f>VLOOKUP(B73,$B$11:B72,1,FALSE)</f>
        <v>#N/A</v>
      </c>
      <c r="O73" s="300" t="str">
        <f t="shared" si="2"/>
        <v/>
      </c>
      <c r="P73" s="300" t="str">
        <f>IF(AND('DATA-WL4'!$AV$37="DD",'DATA-WL1'!$AV$50="A"),1,"")</f>
        <v/>
      </c>
      <c r="Q73" s="300" t="e">
        <f>'DATA-WL4'!$AW$37*'DATA-WL1'!$AW$34</f>
        <v>#VALUE!</v>
      </c>
      <c r="R73" s="11" t="s">
        <v>163</v>
      </c>
      <c r="S73" s="11">
        <v>82.507599999999996</v>
      </c>
      <c r="T73" s="11" t="s">
        <v>164</v>
      </c>
      <c r="U73" s="11">
        <v>3.3002999999999996</v>
      </c>
    </row>
    <row r="74" spans="1:21">
      <c r="B74" s="85">
        <v>9339486</v>
      </c>
      <c r="C74" s="86" t="str">
        <f>IF(Verzie!$E$1="CZK",R74,IF(Verzie!$E$1="SK",T74,IF(Verzie!$E$1="HU",V74,"")))</f>
        <v>WINGLINE L STŘEDOVÝ ZÁVĚS KLIPOVÝ STANDARDNÍ SADA 3KS ŠEDÝ</v>
      </c>
      <c r="D74" s="87">
        <v>1</v>
      </c>
      <c r="E74" s="88" t="s">
        <v>27</v>
      </c>
      <c r="F74" s="89"/>
      <c r="G74" s="90">
        <f>IF(Verzie!$E$1="CZK",S74,IF(OR(Verzie!$E$1="SK",Verzie!$E$1="HU"),U74,""))</f>
        <v>112.51600000000001</v>
      </c>
      <c r="H74" s="91" t="str">
        <f t="shared" si="0"/>
        <v>CZK</v>
      </c>
      <c r="I74" s="210" t="s">
        <v>27</v>
      </c>
      <c r="J74" s="211" t="s">
        <v>27</v>
      </c>
      <c r="L74" s="75">
        <f>G74*(1-'FORM-I'!$V$22/100)</f>
        <v>112.51600000000001</v>
      </c>
      <c r="N74" s="11" t="e">
        <f>VLOOKUP(B74,$B$11:B73,1,FALSE)</f>
        <v>#N/A</v>
      </c>
      <c r="O74" s="300" t="str">
        <f t="shared" si="2"/>
        <v/>
      </c>
      <c r="P74" s="300" t="str">
        <f>IF(AND('DATA-WL4'!$AV$37="DD",'DATA-WL1'!$AV$50="S"),1,"")</f>
        <v/>
      </c>
      <c r="Q74" s="300" t="e">
        <f>'DATA-WL4'!$AW$38*'DATA-WL1'!$AW$34</f>
        <v>#VALUE!</v>
      </c>
      <c r="R74" s="11" t="s">
        <v>165</v>
      </c>
      <c r="S74" s="11">
        <v>112.51600000000001</v>
      </c>
      <c r="T74" s="11" t="s">
        <v>166</v>
      </c>
      <c r="U74" s="11">
        <v>4.5006000000000004</v>
      </c>
    </row>
    <row r="75" spans="1:21">
      <c r="B75" s="85">
        <v>9339487</v>
      </c>
      <c r="C75" s="86" t="str">
        <f>IF(Verzie!$E$1="CZK",R75,IF(Verzie!$E$1="SK",T75,IF(Verzie!$E$1="HU",V75,"")))</f>
        <v>WINGLINE L STŘEDOVÝ ZÁVĚS KLIPOVÝ STANDARDNÍ SADA 3KS BÍLÝ</v>
      </c>
      <c r="D75" s="87">
        <v>1</v>
      </c>
      <c r="E75" s="88" t="s">
        <v>27</v>
      </c>
      <c r="F75" s="89"/>
      <c r="G75" s="90">
        <f>IF(Verzie!$E$1="CZK",S75,IF(OR(Verzie!$E$1="SK",Verzie!$E$1="HU"),U75,""))</f>
        <v>123.7651</v>
      </c>
      <c r="H75" s="91" t="str">
        <f t="shared" si="0"/>
        <v>CZK</v>
      </c>
      <c r="I75" s="210" t="s">
        <v>27</v>
      </c>
      <c r="J75" s="211" t="s">
        <v>27</v>
      </c>
      <c r="L75" s="75">
        <f>G75*(1-'FORM-I'!$V$22/100)</f>
        <v>123.7651</v>
      </c>
      <c r="N75" s="11" t="e">
        <f>VLOOKUP(B75,$B$11:B74,1,FALSE)</f>
        <v>#N/A</v>
      </c>
      <c r="O75" s="300" t="str">
        <f t="shared" si="2"/>
        <v/>
      </c>
      <c r="P75" s="300" t="str">
        <f>IF(AND('DATA-WL4'!$AV$37="DD",'DATA-WL1'!$AV$50="B"),1,"")</f>
        <v/>
      </c>
      <c r="Q75" s="300" t="e">
        <f>'DATA-WL4'!$AW$38*'DATA-WL1'!$AW$34</f>
        <v>#VALUE!</v>
      </c>
      <c r="R75" s="11" t="s">
        <v>167</v>
      </c>
      <c r="S75" s="11">
        <v>123.7651</v>
      </c>
      <c r="T75" s="11" t="s">
        <v>168</v>
      </c>
      <c r="U75" s="11">
        <v>4.9505999999999997</v>
      </c>
    </row>
    <row r="76" spans="1:21">
      <c r="B76" s="93">
        <v>9339491</v>
      </c>
      <c r="C76" s="94" t="str">
        <f>IF(Verzie!$E$1="CZK",R76,IF(Verzie!$E$1="SK",T76,IF(Verzie!$E$1="HU",V76,"")))</f>
        <v>WINGLINE L STŘEDOVÝ ZÁVĚS KLIPOVÝ STANDARDNÍ SADA 3KS ANTRACIT</v>
      </c>
      <c r="D76" s="95">
        <v>1</v>
      </c>
      <c r="E76" s="96" t="s">
        <v>27</v>
      </c>
      <c r="F76" s="97"/>
      <c r="G76" s="98">
        <f>IF(Verzie!$E$1="CZK",S76,IF(OR(Verzie!$E$1="SK",Verzie!$E$1="HU"),U76,""))</f>
        <v>123.7651</v>
      </c>
      <c r="H76" s="99" t="str">
        <f t="shared" ref="H76:H96" si="3">IF(G76="","",$H$10)</f>
        <v>CZK</v>
      </c>
      <c r="I76" s="100" t="s">
        <v>27</v>
      </c>
      <c r="J76" s="101" t="s">
        <v>27</v>
      </c>
      <c r="L76" s="75">
        <f>G76*(1-'FORM-I'!$V$22/100)</f>
        <v>123.7651</v>
      </c>
      <c r="N76" s="11" t="e">
        <f>VLOOKUP(B76,$B$11:B75,1,FALSE)</f>
        <v>#N/A</v>
      </c>
      <c r="O76" s="300" t="str">
        <f t="shared" si="2"/>
        <v/>
      </c>
      <c r="P76" s="300" t="str">
        <f>IF(AND('DATA-WL4'!$AV$37="DD",'DATA-WL1'!$AV$50="A"),1,"")</f>
        <v/>
      </c>
      <c r="Q76" s="300" t="e">
        <f>'DATA-WL4'!$AW$38*'DATA-WL1'!$AW$34</f>
        <v>#VALUE!</v>
      </c>
      <c r="R76" s="11" t="s">
        <v>169</v>
      </c>
      <c r="S76" s="11">
        <v>123.7651</v>
      </c>
      <c r="T76" s="11" t="s">
        <v>170</v>
      </c>
      <c r="U76" s="11">
        <v>4.9505999999999997</v>
      </c>
    </row>
    <row r="77" spans="1:21">
      <c r="B77" s="147"/>
      <c r="C77" s="148"/>
      <c r="D77" s="167"/>
      <c r="E77" s="168"/>
      <c r="F77" s="169"/>
      <c r="G77" s="170"/>
      <c r="H77" s="171" t="str">
        <f t="shared" si="3"/>
        <v/>
      </c>
      <c r="I77" s="154" t="s">
        <v>27</v>
      </c>
      <c r="J77" s="155" t="s">
        <v>27</v>
      </c>
      <c r="L77" s="75">
        <f>G77*(1-'FORM-I'!$V$22/100)</f>
        <v>0</v>
      </c>
      <c r="N77" s="11" t="e">
        <f>VLOOKUP(B77,$B$11:B76,1,FALSE)</f>
        <v>#N/A</v>
      </c>
    </row>
    <row r="78" spans="1:21">
      <c r="A78" s="67"/>
      <c r="B78" s="103">
        <v>9339585</v>
      </c>
      <c r="C78" s="104" t="str">
        <f>IF(Verzie!$E$1="CZK",R78,IF(Verzie!$E$1="SK",T78,IF(Verzie!$E$1="HU",V78,"")))</f>
        <v>WINGLINE L NEW PULL TO MOVE SILENT PRO TĚŽKÉ DVEŘE SADA ŠEDÁ</v>
      </c>
      <c r="D78" s="105">
        <v>1</v>
      </c>
      <c r="E78" s="106" t="s">
        <v>27</v>
      </c>
      <c r="F78" s="107"/>
      <c r="G78" s="108">
        <f>IF(Verzie!$E$1="CZK",S78,IF(OR(Verzie!$E$1="SK",Verzie!$E$1="HU"),U78,""))</f>
        <v>1264.6131</v>
      </c>
      <c r="H78" s="109" t="str">
        <f t="shared" si="3"/>
        <v>CZK</v>
      </c>
      <c r="I78" s="110" t="s">
        <v>27</v>
      </c>
      <c r="J78" s="111" t="s">
        <v>27</v>
      </c>
      <c r="L78" s="75">
        <f>G78*(1-'FORM-I'!$V$22/100)</f>
        <v>1264.6131</v>
      </c>
      <c r="N78" s="11" t="e">
        <f>VLOOKUP(B78,$B$11:B77,1,FALSE)</f>
        <v>#N/A</v>
      </c>
      <c r="O78" s="300" t="str">
        <f t="shared" si="2"/>
        <v/>
      </c>
      <c r="P78" s="300" t="e">
        <f>IF(AND('DATA-WL2'!$AV$22="SIS",'DATA-WL1'!$AV$38="TAZ",'DATA-WL1'!$AV$50="S"),1,"")</f>
        <v>#VALUE!</v>
      </c>
      <c r="Q78" s="300" t="str">
        <f>'DATA-WL1'!$AW$34</f>
        <v/>
      </c>
      <c r="R78" s="11" t="s">
        <v>171</v>
      </c>
      <c r="S78" s="11">
        <v>1264.6131</v>
      </c>
      <c r="T78" s="11" t="s">
        <v>172</v>
      </c>
      <c r="U78" s="11">
        <v>50.584499999999998</v>
      </c>
    </row>
    <row r="79" spans="1:21">
      <c r="A79" s="102"/>
      <c r="B79" s="85">
        <v>9339586</v>
      </c>
      <c r="C79" s="86" t="str">
        <f>IF(Verzie!$E$1="CZK",R79,IF(Verzie!$E$1="SK",T79,IF(Verzie!$E$1="HU",V79,"")))</f>
        <v>WINGLINE L NEW PULL TO MOVE SILENT PRO TĚŽKÉ DVEŘE SADA BÍLÁ</v>
      </c>
      <c r="D79" s="87">
        <v>1</v>
      </c>
      <c r="E79" s="88" t="s">
        <v>27</v>
      </c>
      <c r="F79" s="89"/>
      <c r="G79" s="90">
        <f>IF(Verzie!$E$1="CZK",S79,IF(OR(Verzie!$E$1="SK",Verzie!$E$1="HU"),U79,""))</f>
        <v>1391.0726999999999</v>
      </c>
      <c r="H79" s="91" t="str">
        <f t="shared" si="3"/>
        <v>CZK</v>
      </c>
      <c r="I79" s="210" t="s">
        <v>27</v>
      </c>
      <c r="J79" s="211" t="s">
        <v>27</v>
      </c>
      <c r="L79" s="75">
        <f>G79*(1-'FORM-I'!$V$22/100)</f>
        <v>1391.0726999999999</v>
      </c>
      <c r="N79" s="11" t="e">
        <f>VLOOKUP(B79,$B$11:B78,1,FALSE)</f>
        <v>#N/A</v>
      </c>
      <c r="O79" s="300" t="str">
        <f t="shared" si="2"/>
        <v/>
      </c>
      <c r="P79" s="300" t="e">
        <f>IF(AND('DATA-WL2'!$AV$22="SIS",'DATA-WL1'!$AV$38="TAZ",'DATA-WL1'!$AV$50="B"),1,"")</f>
        <v>#VALUE!</v>
      </c>
      <c r="Q79" s="300" t="str">
        <f>'DATA-WL1'!$AW$34</f>
        <v/>
      </c>
      <c r="R79" s="11" t="s">
        <v>173</v>
      </c>
      <c r="S79" s="11">
        <v>1391.0726999999999</v>
      </c>
      <c r="T79" s="11" t="s">
        <v>174</v>
      </c>
      <c r="U79" s="11">
        <v>55.642899999999997</v>
      </c>
    </row>
    <row r="80" spans="1:21">
      <c r="A80" s="112"/>
      <c r="B80" s="85">
        <v>9339587</v>
      </c>
      <c r="C80" s="86" t="str">
        <f>IF(Verzie!$E$1="CZK",R80,IF(Verzie!$E$1="SK",T80,IF(Verzie!$E$1="HU",V80,"")))</f>
        <v>WINGLINE L NEW PULL TO MOVE SILENT PRO TĚŽKÉ DVEŘE SADA ANTRACIT</v>
      </c>
      <c r="D80" s="87">
        <v>1</v>
      </c>
      <c r="E80" s="88" t="s">
        <v>27</v>
      </c>
      <c r="F80" s="89"/>
      <c r="G80" s="90">
        <f>IF(Verzie!$E$1="CZK",S80,IF(OR(Verzie!$E$1="SK",Verzie!$E$1="HU"),U80,""))</f>
        <v>1391.0726999999999</v>
      </c>
      <c r="H80" s="91" t="str">
        <f t="shared" si="3"/>
        <v>CZK</v>
      </c>
      <c r="I80" s="210" t="s">
        <v>27</v>
      </c>
      <c r="J80" s="211" t="s">
        <v>27</v>
      </c>
      <c r="L80" s="75">
        <f>G80*(1-'FORM-I'!$V$22/100)</f>
        <v>1391.0726999999999</v>
      </c>
      <c r="N80" s="11" t="e">
        <f>VLOOKUP(B80,$B$11:B79,1,FALSE)</f>
        <v>#N/A</v>
      </c>
      <c r="O80" s="300" t="str">
        <f t="shared" si="2"/>
        <v/>
      </c>
      <c r="P80" s="300" t="e">
        <f>IF(AND('DATA-WL2'!$AV$22="SIS",'DATA-WL1'!$AV$38="TAZ",'DATA-WL1'!$AV$50="A"),1,"")</f>
        <v>#VALUE!</v>
      </c>
      <c r="Q80" s="300" t="str">
        <f>'DATA-WL1'!$AW$34</f>
        <v/>
      </c>
      <c r="R80" s="11" t="s">
        <v>175</v>
      </c>
      <c r="S80" s="11">
        <v>1391.0726999999999</v>
      </c>
      <c r="T80" s="11" t="s">
        <v>176</v>
      </c>
      <c r="U80" s="11">
        <v>55.642899999999997</v>
      </c>
    </row>
    <row r="81" spans="1:21">
      <c r="A81" s="67"/>
      <c r="B81" s="85">
        <v>9339523</v>
      </c>
      <c r="C81" s="86" t="str">
        <f>IF(Verzie!$E$1="CZK",R81,IF(Verzie!$E$1="SK",T81,IF(Verzie!$E$1="HU",V81,"")))</f>
        <v>WINGLINE L NEW PULL TO MOVE SILENT PRO LEHKÉ DVEŘE SADA ŠEDÁ</v>
      </c>
      <c r="D81" s="87">
        <v>1</v>
      </c>
      <c r="E81" s="88" t="s">
        <v>27</v>
      </c>
      <c r="F81" s="89"/>
      <c r="G81" s="90">
        <f>IF(Verzie!$E$1="CZK",S81,IF(OR(Verzie!$E$1="SK",Verzie!$E$1="HU"),U81,""))</f>
        <v>1099.8149000000001</v>
      </c>
      <c r="H81" s="91" t="str">
        <f t="shared" si="3"/>
        <v>CZK</v>
      </c>
      <c r="I81" s="210" t="s">
        <v>27</v>
      </c>
      <c r="J81" s="211" t="s">
        <v>27</v>
      </c>
      <c r="L81" s="75">
        <f>G81*(1-'FORM-I'!$V$22/100)</f>
        <v>1099.8149000000001</v>
      </c>
      <c r="N81" s="11" t="e">
        <f>VLOOKUP(B81,$B$11:B80,1,FALSE)</f>
        <v>#N/A</v>
      </c>
      <c r="O81" s="300" t="str">
        <f t="shared" si="2"/>
        <v/>
      </c>
      <c r="P81" s="300" t="e">
        <f>IF(AND('DATA-WL2'!$AV$22="SIS",'DATA-WL1'!$AV$38="LAH",'DATA-WL1'!$AV$50="S"),1,"")</f>
        <v>#VALUE!</v>
      </c>
      <c r="Q81" s="300" t="str">
        <f>'DATA-WL1'!$AW$34</f>
        <v/>
      </c>
      <c r="R81" s="11" t="s">
        <v>177</v>
      </c>
      <c r="S81" s="11">
        <v>1099.8149000000001</v>
      </c>
      <c r="T81" s="11" t="s">
        <v>178</v>
      </c>
      <c r="U81" s="11">
        <v>43.992600000000003</v>
      </c>
    </row>
    <row r="82" spans="1:21">
      <c r="A82" s="102"/>
      <c r="B82" s="85">
        <v>9339583</v>
      </c>
      <c r="C82" s="86" t="str">
        <f>IF(Verzie!$E$1="CZK",R82,IF(Verzie!$E$1="SK",T82,IF(Verzie!$E$1="HU",V82,"")))</f>
        <v>WINGLINE L NEW PULL TO MOVE SILENT PRO LEHKÉ DVEŘE SADA BÍLÁ</v>
      </c>
      <c r="D82" s="87">
        <v>1</v>
      </c>
      <c r="E82" s="88" t="s">
        <v>27</v>
      </c>
      <c r="F82" s="89"/>
      <c r="G82" s="90">
        <f>IF(Verzie!$E$1="CZK",S82,IF(OR(Verzie!$E$1="SK",Verzie!$E$1="HU"),U82,""))</f>
        <v>1209.7959000000001</v>
      </c>
      <c r="H82" s="91" t="str">
        <f t="shared" si="3"/>
        <v>CZK</v>
      </c>
      <c r="I82" s="210" t="s">
        <v>27</v>
      </c>
      <c r="J82" s="211" t="s">
        <v>27</v>
      </c>
      <c r="L82" s="75">
        <f>G82*(1-'FORM-I'!$V$22/100)</f>
        <v>1209.7959000000001</v>
      </c>
      <c r="N82" s="11" t="e">
        <f>VLOOKUP(B82,$B$11:B81,1,FALSE)</f>
        <v>#N/A</v>
      </c>
      <c r="O82" s="300" t="str">
        <f t="shared" si="2"/>
        <v/>
      </c>
      <c r="P82" s="300" t="e">
        <f>IF(AND('DATA-WL2'!$AV$22="SIS",'DATA-WL1'!$AV$38="LAH",'DATA-WL1'!$AV$50="B"),1,"")</f>
        <v>#VALUE!</v>
      </c>
      <c r="Q82" s="300" t="str">
        <f>'DATA-WL1'!$AW$34</f>
        <v/>
      </c>
      <c r="R82" s="11" t="s">
        <v>179</v>
      </c>
      <c r="S82" s="11">
        <v>1209.7959000000001</v>
      </c>
      <c r="T82" s="11" t="s">
        <v>180</v>
      </c>
      <c r="U82" s="11">
        <v>48.391800000000003</v>
      </c>
    </row>
    <row r="83" spans="1:21">
      <c r="A83" s="112"/>
      <c r="B83" s="93">
        <v>9339584</v>
      </c>
      <c r="C83" s="94" t="str">
        <f>IF(Verzie!$E$1="CZK",R83,IF(Verzie!$E$1="SK",T83,IF(Verzie!$E$1="HU",V83,"")))</f>
        <v>WINGLINE L NEW PULL TO MOVE SILENT PRO LEHKÉ DVEŘE SADA ANTRACIT</v>
      </c>
      <c r="D83" s="95">
        <v>1</v>
      </c>
      <c r="E83" s="96" t="s">
        <v>27</v>
      </c>
      <c r="F83" s="97"/>
      <c r="G83" s="98">
        <f>IF(Verzie!$E$1="CZK",S83,IF(OR(Verzie!$E$1="SK",Verzie!$E$1="HU"),U83,""))</f>
        <v>1209.7959000000001</v>
      </c>
      <c r="H83" s="99" t="str">
        <f t="shared" si="3"/>
        <v>CZK</v>
      </c>
      <c r="I83" s="100" t="s">
        <v>27</v>
      </c>
      <c r="J83" s="101" t="s">
        <v>27</v>
      </c>
      <c r="L83" s="75">
        <f>G83*(1-'FORM-I'!$V$22/100)</f>
        <v>1209.7959000000001</v>
      </c>
      <c r="N83" s="11" t="e">
        <f>VLOOKUP(B83,$B$11:B82,1,FALSE)</f>
        <v>#N/A</v>
      </c>
      <c r="O83" s="300" t="str">
        <f t="shared" si="2"/>
        <v/>
      </c>
      <c r="P83" s="300" t="e">
        <f>IF(AND('DATA-WL2'!$AV$22="SIS",'DATA-WL1'!$AV$38="LAH",'DATA-WL1'!$AV$50="A"),1,"")</f>
        <v>#VALUE!</v>
      </c>
      <c r="Q83" s="300" t="str">
        <f>'DATA-WL1'!$AW$34</f>
        <v/>
      </c>
      <c r="R83" s="11" t="s">
        <v>181</v>
      </c>
      <c r="S83" s="11">
        <v>1209.7959000000001</v>
      </c>
      <c r="T83" s="11" t="s">
        <v>182</v>
      </c>
      <c r="U83" s="11">
        <v>48.391800000000003</v>
      </c>
    </row>
    <row r="84" spans="1:21">
      <c r="A84" s="67"/>
      <c r="B84" s="85">
        <v>9339520</v>
      </c>
      <c r="C84" s="86" t="str">
        <f>IF(Verzie!$E$1="CZK",R84,IF(Verzie!$E$1="SK",T84,IF(Verzie!$E$1="HU",V84,"")))</f>
        <v>WINGLINE L NEW PUSH / PULL TO MOVE PRO TĚŽKÉ DVEŘE SADA ŠEDÁ</v>
      </c>
      <c r="D84" s="87">
        <v>1</v>
      </c>
      <c r="E84" s="88" t="s">
        <v>27</v>
      </c>
      <c r="F84" s="89"/>
      <c r="G84" s="90">
        <f>IF(Verzie!$E$1="CZK",S84,IF(OR(Verzie!$E$1="SK",Verzie!$E$1="HU"),U84,""))</f>
        <v>1318.3785</v>
      </c>
      <c r="H84" s="91" t="str">
        <f t="shared" si="3"/>
        <v>CZK</v>
      </c>
      <c r="I84" s="210" t="s">
        <v>27</v>
      </c>
      <c r="J84" s="211" t="s">
        <v>27</v>
      </c>
      <c r="L84" s="75">
        <f>G84*(1-'FORM-I'!$V$22/100)</f>
        <v>1318.3785</v>
      </c>
      <c r="N84" s="11" t="e">
        <f>VLOOKUP(B84,$B$11:B83,1,FALSE)</f>
        <v>#N/A</v>
      </c>
      <c r="O84" s="300" t="str">
        <f t="shared" si="2"/>
        <v/>
      </c>
      <c r="P84" s="300" t="e">
        <f>IF(AND(OR('DATA-WL2'!$AV$22="P2O",'DATA-WL2'!$AV$22="PUL"),'DATA-WL1'!$AV$38="TAZ",'DATA-WL1'!$AV$50="S"),1,"")</f>
        <v>#VALUE!</v>
      </c>
      <c r="Q84" s="300" t="str">
        <f>'DATA-WL1'!$AW$34</f>
        <v/>
      </c>
      <c r="R84" s="11" t="s">
        <v>183</v>
      </c>
      <c r="S84" s="11">
        <v>1318.3785</v>
      </c>
      <c r="T84" s="11" t="s">
        <v>184</v>
      </c>
      <c r="U84" s="11">
        <v>52.735100000000003</v>
      </c>
    </row>
    <row r="85" spans="1:21">
      <c r="A85" s="102"/>
      <c r="B85" s="85">
        <v>9339521</v>
      </c>
      <c r="C85" s="86" t="str">
        <f>IF(Verzie!$E$1="CZK",R85,IF(Verzie!$E$1="SK",T85,IF(Verzie!$E$1="HU",V85,"")))</f>
        <v>WINGLINE L NEW PUSH / PULL TO MOVE PRO TĚŽKÉ DVEŘE SADA BÍLÁ</v>
      </c>
      <c r="D85" s="87">
        <v>1</v>
      </c>
      <c r="E85" s="88" t="s">
        <v>27</v>
      </c>
      <c r="F85" s="89"/>
      <c r="G85" s="90">
        <f>IF(Verzie!$E$1="CZK",S85,IF(OR(Verzie!$E$1="SK",Verzie!$E$1="HU"),U85,""))</f>
        <v>1450.2146</v>
      </c>
      <c r="H85" s="91" t="str">
        <f t="shared" si="3"/>
        <v>CZK</v>
      </c>
      <c r="I85" s="210" t="s">
        <v>27</v>
      </c>
      <c r="J85" s="211" t="s">
        <v>27</v>
      </c>
      <c r="L85" s="75">
        <f>G85*(1-'FORM-I'!$V$22/100)</f>
        <v>1450.2146</v>
      </c>
      <c r="N85" s="11" t="e">
        <f>VLOOKUP(B85,$B$11:B84,1,FALSE)</f>
        <v>#N/A</v>
      </c>
      <c r="O85" s="300" t="str">
        <f t="shared" si="2"/>
        <v/>
      </c>
      <c r="P85" s="300" t="e">
        <f>IF(AND(OR('DATA-WL2'!$AV$22="P2O",'DATA-WL2'!$AV$22="PUL"),'DATA-WL1'!$AV$38="TAZ",'DATA-WL1'!$AV$50="B"),1,"")</f>
        <v>#VALUE!</v>
      </c>
      <c r="Q85" s="300" t="str">
        <f>'DATA-WL1'!$AW$34</f>
        <v/>
      </c>
      <c r="R85" s="11" t="s">
        <v>185</v>
      </c>
      <c r="S85" s="11">
        <v>1450.2146</v>
      </c>
      <c r="T85" s="11" t="s">
        <v>186</v>
      </c>
      <c r="U85" s="11">
        <v>58.008599999999994</v>
      </c>
    </row>
    <row r="86" spans="1:21">
      <c r="A86" s="112"/>
      <c r="B86" s="85">
        <v>9339522</v>
      </c>
      <c r="C86" s="86" t="str">
        <f>IF(Verzie!$E$1="CZK",R86,IF(Verzie!$E$1="SK",T86,IF(Verzie!$E$1="HU",V86,"")))</f>
        <v>WINGLINE L NEW PUSH / PULL TO MOVE PRO TĚŽKÉ DVEŘE SADA ANTRACIT</v>
      </c>
      <c r="D86" s="87">
        <v>1</v>
      </c>
      <c r="E86" s="88" t="s">
        <v>27</v>
      </c>
      <c r="F86" s="89"/>
      <c r="G86" s="90">
        <f>IF(Verzie!$E$1="CZK",S86,IF(OR(Verzie!$E$1="SK",Verzie!$E$1="HU"),U86,""))</f>
        <v>1450.2146</v>
      </c>
      <c r="H86" s="91" t="str">
        <f t="shared" si="3"/>
        <v>CZK</v>
      </c>
      <c r="I86" s="210" t="s">
        <v>27</v>
      </c>
      <c r="J86" s="211" t="s">
        <v>27</v>
      </c>
      <c r="L86" s="75">
        <f>G86*(1-'FORM-I'!$V$22/100)</f>
        <v>1450.2146</v>
      </c>
      <c r="N86" s="11" t="e">
        <f>VLOOKUP(B86,$B$11:B85,1,FALSE)</f>
        <v>#N/A</v>
      </c>
      <c r="O86" s="300" t="str">
        <f t="shared" si="2"/>
        <v/>
      </c>
      <c r="P86" s="300" t="e">
        <f>IF(AND(OR('DATA-WL2'!$AV$22="P2O",'DATA-WL2'!$AV$22="PUL"),'DATA-WL1'!$AV$38="TAZ",'DATA-WL1'!$AV$50="A"),1,"")</f>
        <v>#VALUE!</v>
      </c>
      <c r="Q86" s="300" t="str">
        <f>'DATA-WL1'!$AW$34</f>
        <v/>
      </c>
      <c r="R86" s="11" t="s">
        <v>187</v>
      </c>
      <c r="S86" s="11">
        <v>1450.2146</v>
      </c>
      <c r="T86" s="11" t="s">
        <v>188</v>
      </c>
      <c r="U86" s="11">
        <v>58.008599999999994</v>
      </c>
    </row>
    <row r="87" spans="1:21">
      <c r="A87" s="67"/>
      <c r="B87" s="85">
        <v>9339516</v>
      </c>
      <c r="C87" s="86" t="str">
        <f>IF(Verzie!$E$1="CZK",R87,IF(Verzie!$E$1="SK",T87,IF(Verzie!$E$1="HU",V87,"")))</f>
        <v>WINGLINE L NEW PUSH / PULL TO MOVE PRO LEHKÉ DVEŘE SADA ŠEDÁ</v>
      </c>
      <c r="D87" s="87">
        <v>1</v>
      </c>
      <c r="E87" s="88" t="s">
        <v>27</v>
      </c>
      <c r="F87" s="89"/>
      <c r="G87" s="90">
        <f>IF(Verzie!$E$1="CZK",S87,IF(OR(Verzie!$E$1="SK",Verzie!$E$1="HU"),U87,""))</f>
        <v>1153.5827999999999</v>
      </c>
      <c r="H87" s="91" t="str">
        <f t="shared" si="3"/>
        <v>CZK</v>
      </c>
      <c r="I87" s="210" t="s">
        <v>27</v>
      </c>
      <c r="J87" s="211" t="s">
        <v>27</v>
      </c>
      <c r="L87" s="75">
        <f>G87*(1-'FORM-I'!$V$22/100)</f>
        <v>1153.5827999999999</v>
      </c>
      <c r="N87" s="11" t="e">
        <f>VLOOKUP(B87,$B$11:B86,1,FALSE)</f>
        <v>#N/A</v>
      </c>
      <c r="O87" s="300" t="str">
        <f t="shared" si="2"/>
        <v/>
      </c>
      <c r="P87" s="300" t="e">
        <f>IF(AND(OR('DATA-WL2'!$AV$22="P2O",'DATA-WL2'!$AV$22="PUL"),'DATA-WL1'!$AV$38="LAH",'DATA-WL1'!$AV$50="S"),1,"")</f>
        <v>#VALUE!</v>
      </c>
      <c r="Q87" s="300" t="str">
        <f>'DATA-WL1'!$AW$34</f>
        <v/>
      </c>
      <c r="R87" s="11" t="s">
        <v>189</v>
      </c>
      <c r="S87" s="11">
        <v>1153.5827999999999</v>
      </c>
      <c r="T87" s="11" t="s">
        <v>190</v>
      </c>
      <c r="U87" s="11">
        <v>46.143299999999996</v>
      </c>
    </row>
    <row r="88" spans="1:21">
      <c r="A88" s="102"/>
      <c r="B88" s="85">
        <v>9339517</v>
      </c>
      <c r="C88" s="86" t="str">
        <f>IF(Verzie!$E$1="CZK",R88,IF(Verzie!$E$1="SK",T88,IF(Verzie!$E$1="HU",V88,"")))</f>
        <v>WINGLINE L NEW PUSH / PULL TO MOVE PRO LEHKÉ DVEŘE SADA BÍLÁ</v>
      </c>
      <c r="D88" s="87">
        <v>1</v>
      </c>
      <c r="E88" s="88" t="s">
        <v>27</v>
      </c>
      <c r="F88" s="89"/>
      <c r="G88" s="90">
        <f>IF(Verzie!$E$1="CZK",S88,IF(OR(Verzie!$E$1="SK",Verzie!$E$1="HU"),U88,""))</f>
        <v>1268.9377999999999</v>
      </c>
      <c r="H88" s="91" t="str">
        <f t="shared" si="3"/>
        <v>CZK</v>
      </c>
      <c r="I88" s="210" t="s">
        <v>27</v>
      </c>
      <c r="J88" s="211" t="s">
        <v>27</v>
      </c>
      <c r="L88" s="75">
        <f>G88*(1-'FORM-I'!$V$22/100)</f>
        <v>1268.9377999999999</v>
      </c>
      <c r="N88" s="11" t="e">
        <f>VLOOKUP(B88,$B$11:B87,1,FALSE)</f>
        <v>#N/A</v>
      </c>
      <c r="O88" s="300" t="str">
        <f t="shared" si="2"/>
        <v/>
      </c>
      <c r="P88" s="300" t="e">
        <f>IF(AND(OR('DATA-WL2'!$AV$22="P2O",'DATA-WL2'!$AV$22="PUL"),'DATA-WL1'!$AV$38="LAH",'DATA-WL1'!$AV$50="B"),1,"")</f>
        <v>#VALUE!</v>
      </c>
      <c r="Q88" s="300" t="str">
        <f>'DATA-WL1'!$AW$34</f>
        <v/>
      </c>
      <c r="R88" s="11" t="s">
        <v>191</v>
      </c>
      <c r="S88" s="11">
        <v>1268.9377999999999</v>
      </c>
      <c r="T88" s="11" t="s">
        <v>192</v>
      </c>
      <c r="U88" s="11">
        <v>50.7575</v>
      </c>
    </row>
    <row r="89" spans="1:21">
      <c r="A89" s="112"/>
      <c r="B89" s="93">
        <v>9339518</v>
      </c>
      <c r="C89" s="94" t="str">
        <f>IF(Verzie!$E$1="CZK",R89,IF(Verzie!$E$1="SK",T89,IF(Verzie!$E$1="HU",V89,"")))</f>
        <v>WINGLINE L NEW PUSH / PULL TO MOVE PRO LEHKÉ DVEŘE SADA ANTRACIT</v>
      </c>
      <c r="D89" s="95">
        <v>1</v>
      </c>
      <c r="E89" s="96" t="s">
        <v>27</v>
      </c>
      <c r="F89" s="97"/>
      <c r="G89" s="98">
        <f>IF(Verzie!$E$1="CZK",S89,IF(OR(Verzie!$E$1="SK",Verzie!$E$1="HU"),U89,""))</f>
        <v>1268.9377999999999</v>
      </c>
      <c r="H89" s="99" t="str">
        <f t="shared" si="3"/>
        <v>CZK</v>
      </c>
      <c r="I89" s="100" t="s">
        <v>27</v>
      </c>
      <c r="J89" s="101" t="s">
        <v>27</v>
      </c>
      <c r="L89" s="75">
        <f>G89*(1-'FORM-I'!$V$22/100)</f>
        <v>1268.9377999999999</v>
      </c>
      <c r="N89" s="11" t="e">
        <f>VLOOKUP(B89,$B$11:B88,1,FALSE)</f>
        <v>#N/A</v>
      </c>
      <c r="O89" s="300" t="str">
        <f t="shared" si="2"/>
        <v/>
      </c>
      <c r="P89" s="300" t="e">
        <f>IF(AND(OR('DATA-WL2'!$AV$22="P2O",'DATA-WL2'!$AV$22="PUL"),'DATA-WL1'!$AV$38="LAH",'DATA-WL1'!$AV$50="A"),1,"")</f>
        <v>#VALUE!</v>
      </c>
      <c r="Q89" s="300" t="str">
        <f>'DATA-WL1'!$AW$34</f>
        <v/>
      </c>
      <c r="R89" s="11" t="s">
        <v>193</v>
      </c>
      <c r="S89" s="11">
        <v>1268.9377999999999</v>
      </c>
      <c r="T89" s="11" t="s">
        <v>194</v>
      </c>
      <c r="U89" s="11">
        <v>50.7575</v>
      </c>
    </row>
    <row r="90" spans="1:21">
      <c r="B90" s="147"/>
      <c r="C90" s="148"/>
      <c r="D90" s="167"/>
      <c r="E90" s="168"/>
      <c r="F90" s="169"/>
      <c r="G90" s="170"/>
      <c r="H90" s="171" t="str">
        <f t="shared" si="3"/>
        <v/>
      </c>
      <c r="I90" s="154" t="s">
        <v>27</v>
      </c>
      <c r="J90" s="155" t="s">
        <v>27</v>
      </c>
      <c r="L90" s="75">
        <f>G90*(1-'FORM-I'!$V$22/100)</f>
        <v>0</v>
      </c>
      <c r="N90" s="11" t="e">
        <f>VLOOKUP(B90,$B$11:B89,1,FALSE)</f>
        <v>#N/A</v>
      </c>
    </row>
    <row r="91" spans="1:21">
      <c r="A91" s="67"/>
      <c r="B91" s="103">
        <v>9282527</v>
      </c>
      <c r="C91" s="104" t="str">
        <f>IF(Verzie!$E$1="CZK",R91,IF(Verzie!$E$1="SK",T91,IF(Verzie!$E$1="HU",V91,"")))</f>
        <v>WINGLINE L ARETACE PRO PUSH TO MOVE MECHANICKÁ ŠEDÁ</v>
      </c>
      <c r="D91" s="105">
        <v>10</v>
      </c>
      <c r="E91" s="106" t="s">
        <v>27</v>
      </c>
      <c r="F91" s="107"/>
      <c r="G91" s="108">
        <f>IF(Verzie!$E$1="CZK",S91,IF(OR(Verzie!$E$1="SK",Verzie!$E$1="HU"),U91,""))</f>
        <v>221.2955</v>
      </c>
      <c r="H91" s="109" t="str">
        <f t="shared" si="3"/>
        <v>CZK</v>
      </c>
      <c r="I91" s="110" t="s">
        <v>27</v>
      </c>
      <c r="J91" s="111" t="s">
        <v>27</v>
      </c>
      <c r="L91" s="75">
        <f>G91*(1-'FORM-I'!$V$22/100)</f>
        <v>221.2955</v>
      </c>
      <c r="N91" s="11" t="e">
        <f>VLOOKUP(B91,$B$11:B90,1,FALSE)</f>
        <v>#N/A</v>
      </c>
      <c r="O91" s="300" t="str">
        <f t="shared" si="2"/>
        <v/>
      </c>
      <c r="P91" s="300" t="str">
        <f>IF(AND('DATA-WL3'!$AV$47="P-A",'DATA-WL1'!$AV$50="S"),1,"")</f>
        <v/>
      </c>
      <c r="Q91" s="300" t="str">
        <f>'DATA-WL1'!$AW$34</f>
        <v/>
      </c>
      <c r="R91" s="11" t="s">
        <v>195</v>
      </c>
      <c r="S91" s="11">
        <v>221.2955</v>
      </c>
      <c r="T91" s="11" t="s">
        <v>196</v>
      </c>
      <c r="U91" s="11">
        <v>8.851799999999999</v>
      </c>
    </row>
    <row r="92" spans="1:21">
      <c r="A92" s="102"/>
      <c r="B92" s="85">
        <v>9282600</v>
      </c>
      <c r="C92" s="86" t="str">
        <f>IF(Verzie!$E$1="CZK",R92,IF(Verzie!$E$1="SK",T92,IF(Verzie!$E$1="HU",V92,"")))</f>
        <v>WINGLINE L ARETACE PRO PUSH TO MOVE MECHANICKÁ BÍLÁ</v>
      </c>
      <c r="D92" s="87">
        <v>10</v>
      </c>
      <c r="E92" s="88" t="s">
        <v>27</v>
      </c>
      <c r="F92" s="89"/>
      <c r="G92" s="90">
        <f>IF(Verzie!$E$1="CZK",S92,IF(OR(Verzie!$E$1="SK",Verzie!$E$1="HU"),U92,""))</f>
        <v>221.2955</v>
      </c>
      <c r="H92" s="91" t="str">
        <f t="shared" si="3"/>
        <v>CZK</v>
      </c>
      <c r="I92" s="210" t="s">
        <v>27</v>
      </c>
      <c r="J92" s="211" t="s">
        <v>27</v>
      </c>
      <c r="L92" s="75">
        <f>G92*(1-'FORM-I'!$V$22/100)</f>
        <v>221.2955</v>
      </c>
      <c r="N92" s="11" t="e">
        <f>VLOOKUP(B92,$B$11:B91,1,FALSE)</f>
        <v>#N/A</v>
      </c>
      <c r="O92" s="300" t="str">
        <f t="shared" si="2"/>
        <v/>
      </c>
      <c r="P92" s="300" t="str">
        <f>IF(AND('DATA-WL3'!$AV$47="P-A",'DATA-WL1'!$AV$50="B"),1,"")</f>
        <v/>
      </c>
      <c r="Q92" s="300" t="str">
        <f>'DATA-WL1'!$AW$34</f>
        <v/>
      </c>
      <c r="R92" s="11" t="s">
        <v>197</v>
      </c>
      <c r="S92" s="11">
        <v>221.2955</v>
      </c>
      <c r="T92" s="11" t="s">
        <v>198</v>
      </c>
      <c r="U92" s="11">
        <v>8.851799999999999</v>
      </c>
    </row>
    <row r="93" spans="1:21">
      <c r="A93" s="112"/>
      <c r="B93" s="85">
        <v>9282601</v>
      </c>
      <c r="C93" s="86" t="str">
        <f>IF(Verzie!$E$1="CZK",R93,IF(Verzie!$E$1="SK",T93,IF(Verzie!$E$1="HU",V93,"")))</f>
        <v>WINGLINE L ARETACE PRO PUSH TO MOVE MECHANICKÁ ČERNÁ</v>
      </c>
      <c r="D93" s="87">
        <v>10</v>
      </c>
      <c r="E93" s="88" t="s">
        <v>27</v>
      </c>
      <c r="F93" s="89"/>
      <c r="G93" s="90">
        <f>IF(Verzie!$E$1="CZK",S93,IF(OR(Verzie!$E$1="SK",Verzie!$E$1="HU"),U93,""))</f>
        <v>221.2955</v>
      </c>
      <c r="H93" s="91" t="str">
        <f t="shared" si="3"/>
        <v>CZK</v>
      </c>
      <c r="I93" s="210" t="s">
        <v>27</v>
      </c>
      <c r="J93" s="211" t="s">
        <v>27</v>
      </c>
      <c r="L93" s="75">
        <f>G93*(1-'FORM-I'!$V$22/100)</f>
        <v>221.2955</v>
      </c>
      <c r="N93" s="11" t="e">
        <f>VLOOKUP(B93,$B$11:B92,1,FALSE)</f>
        <v>#N/A</v>
      </c>
      <c r="O93" s="300" t="str">
        <f t="shared" si="2"/>
        <v/>
      </c>
      <c r="P93" s="300" t="str">
        <f>IF(AND('DATA-WL3'!$AV$47="P-A",'DATA-WL1'!$AV$50="A"),1,"")</f>
        <v/>
      </c>
      <c r="Q93" s="300" t="str">
        <f>'DATA-WL1'!$AW$34</f>
        <v/>
      </c>
      <c r="R93" s="11" t="s">
        <v>199</v>
      </c>
      <c r="S93" s="11">
        <v>221.2955</v>
      </c>
      <c r="T93" s="11" t="s">
        <v>200</v>
      </c>
      <c r="U93" s="11">
        <v>8.851799999999999</v>
      </c>
    </row>
    <row r="94" spans="1:21">
      <c r="A94" s="67"/>
      <c r="B94" s="85">
        <v>9282900</v>
      </c>
      <c r="C94" s="86" t="str">
        <f>IF(Verzie!$E$1="CZK",R94,IF(Verzie!$E$1="SK",T94,IF(Verzie!$E$1="HU",V94,"")))</f>
        <v>WINGLINE L ARETACE PRO PUSH TO MOVE MAGNET. STANDARD ŠEDÁ</v>
      </c>
      <c r="D94" s="87">
        <v>10</v>
      </c>
      <c r="E94" s="88" t="s">
        <v>27</v>
      </c>
      <c r="F94" s="89"/>
      <c r="G94" s="90">
        <f>IF(Verzie!$E$1="CZK",S94,IF(OR(Verzie!$E$1="SK",Verzie!$E$1="HU"),U94,""))</f>
        <v>251.60550000000001</v>
      </c>
      <c r="H94" s="91" t="str">
        <f t="shared" si="3"/>
        <v>CZK</v>
      </c>
      <c r="I94" s="210" t="s">
        <v>27</v>
      </c>
      <c r="J94" s="211" t="s">
        <v>27</v>
      </c>
      <c r="L94" s="75">
        <f>G94*(1-'FORM-I'!$V$22/100)</f>
        <v>251.60550000000001</v>
      </c>
      <c r="N94" s="11" t="e">
        <f>VLOOKUP(B94,$B$11:B93,1,FALSE)</f>
        <v>#N/A</v>
      </c>
      <c r="O94" s="300" t="str">
        <f t="shared" si="2"/>
        <v/>
      </c>
      <c r="P94" s="300" t="str">
        <f>IF('DATA-WL3'!$AV$47="P-B",1,"")</f>
        <v/>
      </c>
      <c r="Q94" s="300" t="str">
        <f>'DATA-WL1'!$AW$34</f>
        <v/>
      </c>
      <c r="R94" s="11" t="s">
        <v>201</v>
      </c>
      <c r="S94" s="11">
        <v>251.60550000000001</v>
      </c>
      <c r="T94" s="11" t="s">
        <v>202</v>
      </c>
      <c r="U94" s="11">
        <v>10.0642</v>
      </c>
    </row>
    <row r="95" spans="1:21">
      <c r="A95" s="102"/>
      <c r="B95" s="85">
        <v>9282901</v>
      </c>
      <c r="C95" s="86" t="str">
        <f>IF(Verzie!$E$1="CZK",R95,IF(Verzie!$E$1="SK",T95,IF(Verzie!$E$1="HU",V95,"")))</f>
        <v>WINGLINE L ARETACE PRO PUSH TO MOVE MAGNET. DESIGN BÍLÁ</v>
      </c>
      <c r="D95" s="87">
        <v>10</v>
      </c>
      <c r="E95" s="88" t="s">
        <v>27</v>
      </c>
      <c r="F95" s="89"/>
      <c r="G95" s="90">
        <f>IF(Verzie!$E$1="CZK",S95,IF(OR(Verzie!$E$1="SK",Verzie!$E$1="HU"),U95,""))</f>
        <v>265.38709999999998</v>
      </c>
      <c r="H95" s="91" t="str">
        <f t="shared" si="3"/>
        <v>CZK</v>
      </c>
      <c r="I95" s="210" t="s">
        <v>27</v>
      </c>
      <c r="J95" s="211" t="s">
        <v>27</v>
      </c>
      <c r="L95" s="75">
        <f>G95*(1-'FORM-I'!$V$22/100)</f>
        <v>265.38709999999998</v>
      </c>
      <c r="N95" s="11" t="e">
        <f>VLOOKUP(B95,$B$11:B94,1,FALSE)</f>
        <v>#N/A</v>
      </c>
      <c r="O95" s="300" t="str">
        <f t="shared" si="2"/>
        <v/>
      </c>
      <c r="P95" s="300" t="str">
        <f>IF(AND('DATA-WL3'!$AV$47="P-C",OR('DATA-WL1'!$AV$50="S",'DATA-WL1'!$AV$50="B")),1,"")</f>
        <v/>
      </c>
      <c r="Q95" s="300" t="str">
        <f>'DATA-WL1'!$AW$34</f>
        <v/>
      </c>
      <c r="R95" s="11" t="s">
        <v>203</v>
      </c>
      <c r="S95" s="11">
        <v>265.38709999999998</v>
      </c>
      <c r="T95" s="11" t="s">
        <v>204</v>
      </c>
      <c r="U95" s="11">
        <v>10.615499999999999</v>
      </c>
    </row>
    <row r="96" spans="1:21">
      <c r="A96" s="112"/>
      <c r="B96" s="93">
        <v>9282902</v>
      </c>
      <c r="C96" s="94" t="str">
        <f>IF(Verzie!$E$1="CZK",R96,IF(Verzie!$E$1="SK",T96,IF(Verzie!$E$1="HU",V96,"")))</f>
        <v>WINGLINE L ARETACE PRO PUSH TO MOVE MAGNET. DESIGN ČERNÁ</v>
      </c>
      <c r="D96" s="95">
        <v>10</v>
      </c>
      <c r="E96" s="96" t="s">
        <v>27</v>
      </c>
      <c r="F96" s="97"/>
      <c r="G96" s="98">
        <f>IF(Verzie!$E$1="CZK",S96,IF(OR(Verzie!$E$1="SK",Verzie!$E$1="HU"),U96,""))</f>
        <v>265.38709999999998</v>
      </c>
      <c r="H96" s="99" t="str">
        <f t="shared" si="3"/>
        <v>CZK</v>
      </c>
      <c r="I96" s="100" t="s">
        <v>27</v>
      </c>
      <c r="J96" s="101" t="s">
        <v>27</v>
      </c>
      <c r="L96" s="75">
        <f>G96*(1-'FORM-I'!$V$22/100)</f>
        <v>265.38709999999998</v>
      </c>
      <c r="N96" s="11" t="e">
        <f>VLOOKUP(B96,$B$11:B95,1,FALSE)</f>
        <v>#N/A</v>
      </c>
      <c r="O96" s="300" t="str">
        <f t="shared" si="2"/>
        <v/>
      </c>
      <c r="P96" s="300" t="str">
        <f>IF(AND('DATA-WL3'!$AV$47="P-C",'DATA-WL1'!$AV$50="A"),1,"")</f>
        <v/>
      </c>
      <c r="Q96" s="300" t="str">
        <f>'DATA-WL1'!$AW$34</f>
        <v/>
      </c>
      <c r="R96" s="11" t="s">
        <v>205</v>
      </c>
      <c r="S96" s="11">
        <v>265.38709999999998</v>
      </c>
      <c r="T96" s="11" t="s">
        <v>206</v>
      </c>
      <c r="U96" s="11">
        <v>10.615499999999999</v>
      </c>
    </row>
    <row r="97" spans="1:21">
      <c r="A97" s="67"/>
      <c r="B97" s="85">
        <v>9266219</v>
      </c>
      <c r="C97" s="86" t="str">
        <f>IF(Verzie!$E$1="CZK",R97,IF(Verzie!$E$1="SK",T97,IF(Verzie!$E$1="HU",V97,"")))</f>
        <v>WINGLINE L ARETACE PRO PULL TO MOVE MAGNET. STANDARD ŠEDÁ</v>
      </c>
      <c r="D97" s="87">
        <v>50</v>
      </c>
      <c r="E97" s="88" t="s">
        <v>27</v>
      </c>
      <c r="F97" s="89"/>
      <c r="G97" s="90">
        <f>IF(Verzie!$E$1="CZK",S97,IF(OR(Verzie!$E$1="SK",Verzie!$E$1="HU"),U97,""))</f>
        <v>189.87630000000001</v>
      </c>
      <c r="H97" s="91" t="str">
        <f t="shared" ref="H97:H148" si="4">IF(G97="","",$H$10)</f>
        <v>CZK</v>
      </c>
      <c r="I97" s="210" t="s">
        <v>27</v>
      </c>
      <c r="J97" s="211" t="s">
        <v>27</v>
      </c>
      <c r="L97" s="75">
        <f>G97*(1-'FORM-I'!$V$22/100)</f>
        <v>189.87630000000001</v>
      </c>
      <c r="N97" s="11" t="e">
        <f>VLOOKUP(B97,$B$11:B96,1,FALSE)</f>
        <v>#N/A</v>
      </c>
      <c r="O97" s="300" t="str">
        <f t="shared" si="2"/>
        <v/>
      </c>
      <c r="P97" s="300" t="str">
        <f>IF('DATA-WL3'!$AV$47="S-B",1,"")</f>
        <v/>
      </c>
      <c r="Q97" s="300" t="str">
        <f>'DATA-WL1'!$AW$34</f>
        <v/>
      </c>
      <c r="R97" s="11" t="s">
        <v>207</v>
      </c>
      <c r="S97" s="11">
        <v>189.87630000000001</v>
      </c>
      <c r="T97" s="11" t="s">
        <v>208</v>
      </c>
      <c r="U97" s="11">
        <v>7.5950999999999995</v>
      </c>
    </row>
    <row r="98" spans="1:21">
      <c r="A98" s="102"/>
      <c r="B98" s="85">
        <v>9266244</v>
      </c>
      <c r="C98" s="86" t="str">
        <f>IF(Verzie!$E$1="CZK",R98,IF(Verzie!$E$1="SK",T98,IF(Verzie!$E$1="HU",V98,"")))</f>
        <v xml:space="preserve">WINGLINE L ARETACE PRO PULL TO MOVE MAGNET. DESIGN BÍLÁ </v>
      </c>
      <c r="D98" s="87">
        <v>50</v>
      </c>
      <c r="E98" s="88" t="s">
        <v>27</v>
      </c>
      <c r="F98" s="89"/>
      <c r="G98" s="90">
        <f>IF(Verzie!$E$1="CZK",S98,IF(OR(Verzie!$E$1="SK",Verzie!$E$1="HU"),U98,""))</f>
        <v>203.65540000000001</v>
      </c>
      <c r="H98" s="91" t="str">
        <f t="shared" si="4"/>
        <v>CZK</v>
      </c>
      <c r="I98" s="210" t="s">
        <v>27</v>
      </c>
      <c r="J98" s="211" t="s">
        <v>27</v>
      </c>
      <c r="L98" s="75">
        <f>G98*(1-'FORM-I'!$V$22/100)</f>
        <v>203.65540000000001</v>
      </c>
      <c r="N98" s="11" t="e">
        <f>VLOOKUP(B98,$B$11:B97,1,FALSE)</f>
        <v>#N/A</v>
      </c>
      <c r="O98" s="300" t="str">
        <f t="shared" si="2"/>
        <v/>
      </c>
      <c r="P98" s="300" t="str">
        <f>IF(AND('DATA-WL3'!$AV$47="S-C",OR('DATA-WL1'!$AV$50="S",'DATA-WL1'!$AV$50="B")),1,"")</f>
        <v/>
      </c>
      <c r="Q98" s="300" t="str">
        <f>'DATA-WL1'!$AW$34</f>
        <v/>
      </c>
      <c r="R98" s="11" t="s">
        <v>209</v>
      </c>
      <c r="S98" s="11">
        <v>203.65540000000001</v>
      </c>
      <c r="T98" s="11" t="s">
        <v>210</v>
      </c>
      <c r="U98" s="11">
        <v>8.1462000000000003</v>
      </c>
    </row>
    <row r="99" spans="1:21">
      <c r="A99" s="112"/>
      <c r="B99" s="93">
        <v>9266243</v>
      </c>
      <c r="C99" s="94" t="str">
        <f>IF(Verzie!$E$1="CZK",R99,IF(Verzie!$E$1="SK",T99,IF(Verzie!$E$1="HU",V99,"")))</f>
        <v>WINGLINE L ARETACE PRO PULL TO MOVE MAGNET. DESIGN ČERNÁ</v>
      </c>
      <c r="D99" s="95">
        <v>50</v>
      </c>
      <c r="E99" s="96" t="s">
        <v>27</v>
      </c>
      <c r="F99" s="97"/>
      <c r="G99" s="98">
        <f>IF(Verzie!$E$1="CZK",S99,IF(OR(Verzie!$E$1="SK",Verzie!$E$1="HU"),U99,""))</f>
        <v>203.65540000000001</v>
      </c>
      <c r="H99" s="99" t="str">
        <f t="shared" si="4"/>
        <v>CZK</v>
      </c>
      <c r="I99" s="100" t="s">
        <v>27</v>
      </c>
      <c r="J99" s="101" t="s">
        <v>27</v>
      </c>
      <c r="L99" s="75">
        <f>G99*(1-'FORM-I'!$V$22/100)</f>
        <v>203.65540000000001</v>
      </c>
      <c r="N99" s="11" t="e">
        <f>VLOOKUP(B99,$B$11:B98,1,FALSE)</f>
        <v>#N/A</v>
      </c>
      <c r="O99" s="300" t="str">
        <f t="shared" si="2"/>
        <v/>
      </c>
      <c r="P99" s="300" t="str">
        <f>IF(AND('DATA-WL3'!$AV$47="S-C",'DATA-WL1'!$AV$50="A"),1,"")</f>
        <v/>
      </c>
      <c r="Q99" s="300" t="str">
        <f>'DATA-WL1'!$AW$34</f>
        <v/>
      </c>
      <c r="R99" s="11" t="s">
        <v>211</v>
      </c>
      <c r="S99" s="11">
        <v>203.65540000000001</v>
      </c>
      <c r="T99" s="11" t="s">
        <v>212</v>
      </c>
      <c r="U99" s="11">
        <v>8.1462000000000003</v>
      </c>
    </row>
    <row r="100" spans="1:21">
      <c r="B100" s="147"/>
      <c r="C100" s="148"/>
      <c r="D100" s="149"/>
      <c r="E100" s="150"/>
      <c r="F100" s="151"/>
      <c r="G100" s="152"/>
      <c r="H100" s="153" t="str">
        <f t="shared" si="4"/>
        <v/>
      </c>
      <c r="I100" s="154" t="s">
        <v>27</v>
      </c>
      <c r="J100" s="155" t="s">
        <v>27</v>
      </c>
      <c r="L100" s="75">
        <f>G100*(1-'FORM-I'!$V$22/100)</f>
        <v>0</v>
      </c>
      <c r="N100" s="11" t="e">
        <f>VLOOKUP(B100,$B$11:B99,1,FALSE)</f>
        <v>#N/A</v>
      </c>
    </row>
    <row r="101" spans="1:21">
      <c r="B101" s="156">
        <v>9073605</v>
      </c>
      <c r="C101" s="157" t="str">
        <f>IF(Verzie!$E$1="CZK",R101,IF(Verzie!$E$1="SK",T101,IF(Verzie!$E$1="HU",V101,"")))</f>
        <v xml:space="preserve">SENSYS 8645I 110° B12,5 TH52 </v>
      </c>
      <c r="D101" s="158">
        <v>50</v>
      </c>
      <c r="E101" s="159" t="s">
        <v>27</v>
      </c>
      <c r="F101" s="160"/>
      <c r="G101" s="161">
        <f>IF(Verzie!$E$1="CZK",S101,IF(OR(Verzie!$E$1="SK",Verzie!$E$1="HU"),U101,""))</f>
        <v>73.489599999999996</v>
      </c>
      <c r="H101" s="162" t="str">
        <f t="shared" si="4"/>
        <v>CZK</v>
      </c>
      <c r="I101" s="163" t="s">
        <v>27</v>
      </c>
      <c r="J101" s="164" t="s">
        <v>27</v>
      </c>
      <c r="L101" s="75">
        <f>G101*(1-'FORM-I'!$V$22/100)</f>
        <v>73.489599999999996</v>
      </c>
      <c r="N101" s="11" t="e">
        <f>VLOOKUP(B101,$B$11:B100,1,FALSE)</f>
        <v>#N/A</v>
      </c>
      <c r="O101" s="300" t="str">
        <f t="shared" si="2"/>
        <v/>
      </c>
      <c r="P101" s="300" t="str">
        <f>IF('DATA-WL2'!$AV$22="bez",1,"")</f>
        <v/>
      </c>
      <c r="Q101" s="300" t="e">
        <f>'DATA-WL4'!$AU$39*'DATA-WL1'!$AW$34</f>
        <v>#VALUE!</v>
      </c>
      <c r="R101" s="11" t="s">
        <v>213</v>
      </c>
      <c r="S101" s="11">
        <v>73.489599999999996</v>
      </c>
      <c r="T101" s="11" t="s">
        <v>214</v>
      </c>
      <c r="U101" s="11">
        <v>2.9396</v>
      </c>
    </row>
    <row r="102" spans="1:21">
      <c r="B102" s="122">
        <v>9073606</v>
      </c>
      <c r="C102" s="123" t="str">
        <f>IF(Verzie!$E$1="CZK",R102,IF(Verzie!$E$1="SK",T102,IF(Verzie!$E$1="HU",V102,"")))</f>
        <v xml:space="preserve">SENSYS 8645I 110° B3 TH52 </v>
      </c>
      <c r="D102" s="124">
        <v>50</v>
      </c>
      <c r="E102" s="125" t="s">
        <v>27</v>
      </c>
      <c r="F102" s="126"/>
      <c r="G102" s="127">
        <f>IF(Verzie!$E$1="CZK",S102,IF(OR(Verzie!$E$1="SK",Verzie!$E$1="HU"),U102,""))</f>
        <v>78.050299999999993</v>
      </c>
      <c r="H102" s="128" t="str">
        <f t="shared" si="4"/>
        <v>CZK</v>
      </c>
      <c r="I102" s="129" t="s">
        <v>27</v>
      </c>
      <c r="J102" s="130" t="s">
        <v>27</v>
      </c>
      <c r="L102" s="75">
        <f>G102*(1-'FORM-I'!$V$22/100)</f>
        <v>78.050299999999993</v>
      </c>
      <c r="N102" s="11" t="e">
        <f>VLOOKUP(B102,$B$11:B101,1,FALSE)</f>
        <v>#N/A</v>
      </c>
      <c r="O102" s="300" t="str">
        <f t="shared" si="2"/>
        <v/>
      </c>
      <c r="P102" s="300" t="str">
        <f>IF('DATA-WL2'!$AV$22="bez",1,"")</f>
        <v/>
      </c>
      <c r="Q102" s="300">
        <v>0</v>
      </c>
      <c r="R102" s="11" t="s">
        <v>215</v>
      </c>
      <c r="S102" s="11">
        <v>78.050299999999993</v>
      </c>
      <c r="T102" s="11" t="s">
        <v>216</v>
      </c>
      <c r="U102" s="11">
        <v>3.1219999999999999</v>
      </c>
    </row>
    <row r="103" spans="1:21">
      <c r="B103" s="122">
        <v>9073662</v>
      </c>
      <c r="C103" s="123" t="str">
        <f>IF(Verzie!$E$1="CZK",R103,IF(Verzie!$E$1="SK",T103,IF(Verzie!$E$1="HU",V103,"")))</f>
        <v>SENSYS 8675 110° B12,5 TH52 BEZ PRUŽINY PRO PUSH TO OPEN</v>
      </c>
      <c r="D103" s="124">
        <v>50</v>
      </c>
      <c r="E103" s="125" t="s">
        <v>27</v>
      </c>
      <c r="F103" s="126"/>
      <c r="G103" s="127">
        <f>IF(Verzie!$E$1="CZK",S103,IF(OR(Verzie!$E$1="SK",Verzie!$E$1="HU"),U103,""))</f>
        <v>58.286499999999997</v>
      </c>
      <c r="H103" s="128" t="str">
        <f t="shared" si="4"/>
        <v>CZK</v>
      </c>
      <c r="I103" s="129" t="s">
        <v>27</v>
      </c>
      <c r="J103" s="130" t="s">
        <v>27</v>
      </c>
      <c r="L103" s="75">
        <f>G103*(1-'FORM-I'!$V$22/100)</f>
        <v>58.286499999999997</v>
      </c>
      <c r="N103" s="11" t="e">
        <f>VLOOKUP(B103,$B$11:B102,1,FALSE)</f>
        <v>#N/A</v>
      </c>
      <c r="O103" s="300" t="str">
        <f t="shared" si="2"/>
        <v/>
      </c>
      <c r="P103" s="300" t="str">
        <f>IF(OR('DATA-WL2'!$AV$22="P2O",'DATA-WL2'!$AV$22="PUL",'DATA-WL2'!$AV$22="SIS"),1,"")</f>
        <v/>
      </c>
      <c r="Q103" s="300" t="e">
        <f>'DATA-WL4'!$AU$39*'DATA-WL1'!$AW$34</f>
        <v>#VALUE!</v>
      </c>
      <c r="R103" s="11" t="s">
        <v>217</v>
      </c>
      <c r="S103" s="11">
        <v>58.286499999999997</v>
      </c>
      <c r="T103" s="11" t="s">
        <v>218</v>
      </c>
      <c r="U103" s="11">
        <v>2.3315000000000001</v>
      </c>
    </row>
    <row r="104" spans="1:21">
      <c r="B104" s="122">
        <v>9073663</v>
      </c>
      <c r="C104" s="123" t="str">
        <f>IF(Verzie!$E$1="CZK",R104,IF(Verzie!$E$1="SK",T104,IF(Verzie!$E$1="HU",V104,"")))</f>
        <v>SENSYS 8675 110° B3 TH52 BEZ PRUŽINY PRO PUSH TO OPEN</v>
      </c>
      <c r="D104" s="124">
        <v>50</v>
      </c>
      <c r="E104" s="125" t="s">
        <v>27</v>
      </c>
      <c r="F104" s="126"/>
      <c r="G104" s="127">
        <f>IF(Verzie!$E$1="CZK",S104,IF(OR(Verzie!$E$1="SK",Verzie!$E$1="HU"),U104,""))</f>
        <v>62.844899999999996</v>
      </c>
      <c r="H104" s="128" t="str">
        <f t="shared" si="4"/>
        <v>CZK</v>
      </c>
      <c r="I104" s="129" t="s">
        <v>27</v>
      </c>
      <c r="J104" s="130" t="s">
        <v>27</v>
      </c>
      <c r="L104" s="75">
        <f>G104*(1-'FORM-I'!$V$22/100)</f>
        <v>62.844899999999996</v>
      </c>
      <c r="N104" s="11" t="e">
        <f>VLOOKUP(B104,$B$11:B103,1,FALSE)</f>
        <v>#N/A</v>
      </c>
      <c r="O104" s="300" t="str">
        <f t="shared" si="2"/>
        <v/>
      </c>
      <c r="P104" s="300" t="str">
        <f>IF(OR('DATA-WL2'!$AV$22="P2O",'DATA-WL2'!$AV$22="PUL",'DATA-WL2'!$AV$22="SIS"),1,"")</f>
        <v/>
      </c>
      <c r="Q104" s="300">
        <v>0</v>
      </c>
      <c r="R104" s="11" t="s">
        <v>219</v>
      </c>
      <c r="S104" s="11">
        <v>62.844899999999996</v>
      </c>
      <c r="T104" s="11" t="s">
        <v>220</v>
      </c>
      <c r="U104" s="11">
        <v>2.5137999999999998</v>
      </c>
    </row>
    <row r="105" spans="1:21">
      <c r="B105" s="122">
        <v>9071666</v>
      </c>
      <c r="C105" s="123" t="str">
        <f>IF(Verzie!$E$1="CZK",R105,IF(Verzie!$E$1="SK",T105,IF(Verzie!$E$1="HU",V105,"")))</f>
        <v>PODLOŽKA 8099 D1,5 EUROŠROUBY EXCENTR</v>
      </c>
      <c r="D105" s="124">
        <v>50</v>
      </c>
      <c r="E105" s="125" t="s">
        <v>27</v>
      </c>
      <c r="F105" s="126"/>
      <c r="G105" s="127">
        <f>IF(Verzie!$E$1="CZK",S105,IF(OR(Verzie!$E$1="SK",Verzie!$E$1="HU"),U105,""))</f>
        <v>15.896800000000001</v>
      </c>
      <c r="H105" s="128" t="str">
        <f t="shared" si="4"/>
        <v>CZK</v>
      </c>
      <c r="I105" s="129" t="s">
        <v>27</v>
      </c>
      <c r="J105" s="130" t="s">
        <v>27</v>
      </c>
      <c r="L105" s="75">
        <f>G105*(1-'FORM-I'!$V$22/100)</f>
        <v>15.896800000000001</v>
      </c>
      <c r="N105" s="11" t="e">
        <f>VLOOKUP(B105,$B$11:B104,1,FALSE)</f>
        <v>#N/A</v>
      </c>
      <c r="O105" s="300">
        <f>SUM(O101:O104)</f>
        <v>0</v>
      </c>
      <c r="P105" s="300"/>
      <c r="Q105" s="300"/>
      <c r="R105" s="11" t="s">
        <v>221</v>
      </c>
      <c r="S105" s="11">
        <v>15.896800000000001</v>
      </c>
      <c r="T105" s="11" t="s">
        <v>222</v>
      </c>
      <c r="U105" s="11">
        <v>0.63590000000000002</v>
      </c>
    </row>
    <row r="106" spans="1:21">
      <c r="B106" s="122"/>
      <c r="C106" s="123" t="s">
        <v>223</v>
      </c>
      <c r="D106" s="124" t="s">
        <v>223</v>
      </c>
      <c r="E106" s="125" t="s">
        <v>27</v>
      </c>
      <c r="F106" s="126"/>
      <c r="G106" s="127"/>
      <c r="H106" s="128" t="str">
        <f t="shared" si="4"/>
        <v/>
      </c>
      <c r="I106" s="129" t="s">
        <v>27</v>
      </c>
      <c r="J106" s="130" t="s">
        <v>27</v>
      </c>
      <c r="L106" s="75">
        <f>G106*(1-'FORM-I'!$V$22/100)</f>
        <v>0</v>
      </c>
      <c r="N106" s="11" t="e">
        <f>VLOOKUP(B106,$B$11:B105,1,FALSE)</f>
        <v>#N/A</v>
      </c>
    </row>
    <row r="107" spans="1:21">
      <c r="B107" s="122"/>
      <c r="C107" s="123" t="s">
        <v>223</v>
      </c>
      <c r="D107" s="124" t="s">
        <v>223</v>
      </c>
      <c r="E107" s="125" t="s">
        <v>27</v>
      </c>
      <c r="F107" s="126"/>
      <c r="G107" s="127"/>
      <c r="H107" s="128" t="str">
        <f t="shared" ref="H107:H110" si="5">IF(G107="","",$H$10)</f>
        <v/>
      </c>
      <c r="I107" s="129" t="s">
        <v>27</v>
      </c>
      <c r="J107" s="130" t="s">
        <v>27</v>
      </c>
      <c r="L107" s="75">
        <f>G107*(1-'FORM-I'!$V$22/100)</f>
        <v>0</v>
      </c>
      <c r="N107" s="11" t="e">
        <f>VLOOKUP(B107,$B$11:B106,1,FALSE)</f>
        <v>#N/A</v>
      </c>
    </row>
    <row r="108" spans="1:21">
      <c r="B108" s="122"/>
      <c r="C108" s="123" t="s">
        <v>223</v>
      </c>
      <c r="D108" s="124" t="s">
        <v>223</v>
      </c>
      <c r="E108" s="125" t="s">
        <v>27</v>
      </c>
      <c r="F108" s="126"/>
      <c r="G108" s="127"/>
      <c r="H108" s="128" t="str">
        <f t="shared" si="5"/>
        <v/>
      </c>
      <c r="I108" s="129" t="s">
        <v>27</v>
      </c>
      <c r="J108" s="130" t="s">
        <v>27</v>
      </c>
      <c r="L108" s="75">
        <f>G108*(1-'FORM-I'!$V$22/100)</f>
        <v>0</v>
      </c>
      <c r="N108" s="11" t="e">
        <f>VLOOKUP(B108,$B$11:B107,1,FALSE)</f>
        <v>#N/A</v>
      </c>
    </row>
    <row r="109" spans="1:21">
      <c r="B109" s="122"/>
      <c r="C109" s="123" t="s">
        <v>223</v>
      </c>
      <c r="D109" s="124" t="s">
        <v>223</v>
      </c>
      <c r="E109" s="125" t="s">
        <v>27</v>
      </c>
      <c r="F109" s="126"/>
      <c r="G109" s="127"/>
      <c r="H109" s="128" t="str">
        <f t="shared" si="5"/>
        <v/>
      </c>
      <c r="I109" s="129" t="s">
        <v>27</v>
      </c>
      <c r="J109" s="130" t="s">
        <v>27</v>
      </c>
      <c r="L109" s="75">
        <f>G109*(1-'FORM-I'!$V$22/100)</f>
        <v>0</v>
      </c>
      <c r="N109" s="11" t="e">
        <f>VLOOKUP(B109,$B$11:B108,1,FALSE)</f>
        <v>#N/A</v>
      </c>
    </row>
    <row r="110" spans="1:21">
      <c r="B110" s="122"/>
      <c r="C110" s="123" t="s">
        <v>223</v>
      </c>
      <c r="D110" s="124" t="s">
        <v>223</v>
      </c>
      <c r="E110" s="125" t="s">
        <v>27</v>
      </c>
      <c r="F110" s="126"/>
      <c r="G110" s="127"/>
      <c r="H110" s="128" t="str">
        <f t="shared" si="5"/>
        <v/>
      </c>
      <c r="I110" s="129" t="s">
        <v>27</v>
      </c>
      <c r="J110" s="130" t="s">
        <v>27</v>
      </c>
      <c r="L110" s="75">
        <f>G110*(1-'FORM-I'!$V$22/100)</f>
        <v>0</v>
      </c>
      <c r="N110" s="11" t="e">
        <f>VLOOKUP(B110,$B$11:B109,1,FALSE)</f>
        <v>#N/A</v>
      </c>
    </row>
    <row r="111" spans="1:21">
      <c r="B111" s="122"/>
      <c r="C111" s="123"/>
      <c r="D111" s="124"/>
      <c r="E111" s="125"/>
      <c r="F111" s="126"/>
      <c r="G111" s="127"/>
      <c r="H111" s="128" t="str">
        <f t="shared" si="4"/>
        <v/>
      </c>
      <c r="I111" s="129"/>
      <c r="J111" s="130" t="s">
        <v>27</v>
      </c>
      <c r="L111" s="75">
        <f>G111*(1-'FORM-I'!$V$22/100)</f>
        <v>0</v>
      </c>
      <c r="N111" s="11" t="e">
        <f>VLOOKUP(B111,$B$11:B110,1,FALSE)</f>
        <v>#N/A</v>
      </c>
    </row>
    <row r="112" spans="1:21">
      <c r="B112" s="122"/>
      <c r="C112" s="123"/>
      <c r="D112" s="124"/>
      <c r="E112" s="125"/>
      <c r="F112" s="126"/>
      <c r="G112" s="127"/>
      <c r="H112" s="128" t="str">
        <f t="shared" si="4"/>
        <v/>
      </c>
      <c r="I112" s="129"/>
      <c r="J112" s="130" t="s">
        <v>27</v>
      </c>
      <c r="L112" s="75">
        <f>G112*(1-'FORM-I'!$V$22/100)</f>
        <v>0</v>
      </c>
      <c r="N112" s="11" t="e">
        <f>VLOOKUP(B112,$B$11:B111,1,FALSE)</f>
        <v>#N/A</v>
      </c>
    </row>
    <row r="113" spans="2:14">
      <c r="B113" s="122"/>
      <c r="C113" s="123"/>
      <c r="D113" s="124"/>
      <c r="E113" s="125"/>
      <c r="F113" s="126"/>
      <c r="G113" s="127"/>
      <c r="H113" s="128" t="str">
        <f t="shared" si="4"/>
        <v/>
      </c>
      <c r="I113" s="129"/>
      <c r="J113" s="130" t="s">
        <v>27</v>
      </c>
      <c r="L113" s="75">
        <f>G113*(1-'FORM-I'!$V$22/100)</f>
        <v>0</v>
      </c>
      <c r="N113" s="11" t="e">
        <f>VLOOKUP(B113,$B$11:B112,1,FALSE)</f>
        <v>#N/A</v>
      </c>
    </row>
    <row r="114" spans="2:14">
      <c r="B114" s="122"/>
      <c r="C114" s="123"/>
      <c r="D114" s="124"/>
      <c r="E114" s="125"/>
      <c r="F114" s="126"/>
      <c r="G114" s="127"/>
      <c r="H114" s="128" t="str">
        <f t="shared" si="4"/>
        <v/>
      </c>
      <c r="I114" s="129"/>
      <c r="J114" s="130" t="s">
        <v>27</v>
      </c>
      <c r="L114" s="75">
        <f>G114*(1-'FORM-I'!$V$22/100)</f>
        <v>0</v>
      </c>
      <c r="N114" s="11" t="e">
        <f>VLOOKUP(B114,$B$11:B113,1,FALSE)</f>
        <v>#N/A</v>
      </c>
    </row>
    <row r="115" spans="2:14">
      <c r="B115" s="122">
        <v>9255181</v>
      </c>
      <c r="C115" s="123" t="s">
        <v>224</v>
      </c>
      <c r="D115" s="124">
        <v>20</v>
      </c>
      <c r="E115" s="125"/>
      <c r="F115" s="126"/>
      <c r="G115" s="127">
        <v>9.3409999999999993</v>
      </c>
      <c r="H115" s="128" t="str">
        <f t="shared" si="4"/>
        <v>CZK</v>
      </c>
      <c r="I115" s="129"/>
      <c r="J115" s="130" t="s">
        <v>27</v>
      </c>
      <c r="L115" s="75">
        <f>G115*(1-'FORM-I'!$V$22/100)</f>
        <v>9.3409999999999993</v>
      </c>
      <c r="N115" s="11" t="e">
        <f>VLOOKUP(B115,$B$11:B114,1,FALSE)</f>
        <v>#N/A</v>
      </c>
    </row>
    <row r="116" spans="2:14">
      <c r="B116" s="122">
        <v>9255182</v>
      </c>
      <c r="C116" s="123" t="s">
        <v>225</v>
      </c>
      <c r="D116" s="124">
        <v>20</v>
      </c>
      <c r="E116" s="125"/>
      <c r="F116" s="126"/>
      <c r="G116" s="127">
        <v>9.5784000000000002</v>
      </c>
      <c r="H116" s="128" t="str">
        <f t="shared" si="4"/>
        <v>CZK</v>
      </c>
      <c r="I116" s="129"/>
      <c r="J116" s="130" t="s">
        <v>27</v>
      </c>
      <c r="L116" s="75">
        <f>G116*(1-'FORM-I'!$V$22/100)</f>
        <v>9.5784000000000002</v>
      </c>
      <c r="N116" s="11" t="e">
        <f>VLOOKUP(B116,$B$11:B115,1,FALSE)</f>
        <v>#N/A</v>
      </c>
    </row>
    <row r="117" spans="2:14">
      <c r="B117" s="122">
        <v>9255183</v>
      </c>
      <c r="C117" s="123" t="s">
        <v>226</v>
      </c>
      <c r="D117" s="124">
        <v>20</v>
      </c>
      <c r="E117" s="125"/>
      <c r="F117" s="126"/>
      <c r="G117" s="127">
        <v>9.5784000000000002</v>
      </c>
      <c r="H117" s="128" t="str">
        <f t="shared" si="4"/>
        <v>CZK</v>
      </c>
      <c r="I117" s="129"/>
      <c r="J117" s="130" t="s">
        <v>27</v>
      </c>
      <c r="L117" s="75">
        <f>G117*(1-'FORM-I'!$V$22/100)</f>
        <v>9.5784000000000002</v>
      </c>
      <c r="N117" s="11" t="e">
        <f>VLOOKUP(B117,$B$11:B116,1,FALSE)</f>
        <v>#N/A</v>
      </c>
    </row>
    <row r="118" spans="2:14">
      <c r="B118" s="122">
        <v>9255184</v>
      </c>
      <c r="C118" s="123" t="s">
        <v>227</v>
      </c>
      <c r="D118" s="124">
        <v>20</v>
      </c>
      <c r="E118" s="125"/>
      <c r="F118" s="126"/>
      <c r="G118" s="127">
        <v>9.9011999999999993</v>
      </c>
      <c r="H118" s="128" t="str">
        <f t="shared" si="4"/>
        <v>CZK</v>
      </c>
      <c r="I118" s="129"/>
      <c r="J118" s="130" t="s">
        <v>27</v>
      </c>
      <c r="L118" s="75">
        <f>G118*(1-'FORM-I'!$V$22/100)</f>
        <v>9.9011999999999993</v>
      </c>
      <c r="N118" s="11" t="e">
        <f>VLOOKUP(B118,$B$11:B117,1,FALSE)</f>
        <v>#N/A</v>
      </c>
    </row>
    <row r="119" spans="2:14">
      <c r="B119" s="165">
        <v>9255185</v>
      </c>
      <c r="C119" s="166" t="s">
        <v>228</v>
      </c>
      <c r="D119" s="167">
        <v>20</v>
      </c>
      <c r="E119" s="168"/>
      <c r="F119" s="169"/>
      <c r="G119" s="170">
        <v>9.9011999999999993</v>
      </c>
      <c r="H119" s="171" t="str">
        <f t="shared" si="4"/>
        <v>CZK</v>
      </c>
      <c r="I119" s="172"/>
      <c r="J119" s="173" t="s">
        <v>27</v>
      </c>
      <c r="L119" s="75">
        <f>G119*(1-'FORM-I'!$V$22/100)</f>
        <v>9.9011999999999993</v>
      </c>
      <c r="N119" s="11" t="e">
        <f>VLOOKUP(B119,$B$11:B118,1,FALSE)</f>
        <v>#N/A</v>
      </c>
    </row>
    <row r="120" spans="2:14">
      <c r="B120" s="156">
        <v>9255804</v>
      </c>
      <c r="C120" s="157" t="s">
        <v>229</v>
      </c>
      <c r="D120" s="158">
        <v>200</v>
      </c>
      <c r="E120" s="159"/>
      <c r="F120" s="160"/>
      <c r="G120" s="161">
        <v>0.43659999999999999</v>
      </c>
      <c r="H120" s="162" t="str">
        <f t="shared" si="4"/>
        <v>CZK</v>
      </c>
      <c r="I120" s="163"/>
      <c r="J120" s="164" t="s">
        <v>27</v>
      </c>
      <c r="L120" s="75">
        <f>G120*(1-'FORM-I'!$V$22/100)</f>
        <v>0.43659999999999999</v>
      </c>
      <c r="N120" s="11" t="e">
        <f>VLOOKUP(B120,$B$11:B119,1,FALSE)</f>
        <v>#N/A</v>
      </c>
    </row>
    <row r="121" spans="2:14">
      <c r="B121" s="122">
        <v>9255805</v>
      </c>
      <c r="C121" s="123" t="s">
        <v>230</v>
      </c>
      <c r="D121" s="124">
        <v>200</v>
      </c>
      <c r="E121" s="125"/>
      <c r="F121" s="126"/>
      <c r="G121" s="127">
        <v>0.44159999999999999</v>
      </c>
      <c r="H121" s="128" t="str">
        <f t="shared" si="4"/>
        <v>CZK</v>
      </c>
      <c r="I121" s="129"/>
      <c r="J121" s="130" t="s">
        <v>27</v>
      </c>
      <c r="L121" s="75">
        <f>G121*(1-'FORM-I'!$V$22/100)</f>
        <v>0.44159999999999999</v>
      </c>
      <c r="N121" s="11" t="e">
        <f>VLOOKUP(B121,$B$11:B120,1,FALSE)</f>
        <v>#N/A</v>
      </c>
    </row>
    <row r="122" spans="2:14">
      <c r="B122" s="122">
        <v>9255806</v>
      </c>
      <c r="C122" s="123" t="s">
        <v>231</v>
      </c>
      <c r="D122" s="124">
        <v>200</v>
      </c>
      <c r="E122" s="125"/>
      <c r="F122" s="126"/>
      <c r="G122" s="127">
        <v>0.44969999999999999</v>
      </c>
      <c r="H122" s="128" t="str">
        <f t="shared" si="4"/>
        <v>CZK</v>
      </c>
      <c r="I122" s="129"/>
      <c r="J122" s="130" t="s">
        <v>27</v>
      </c>
      <c r="L122" s="75">
        <f>G122*(1-'FORM-I'!$V$22/100)</f>
        <v>0.44969999999999999</v>
      </c>
      <c r="N122" s="11" t="e">
        <f>VLOOKUP(B122,$B$11:B121,1,FALSE)</f>
        <v>#N/A</v>
      </c>
    </row>
    <row r="123" spans="2:14">
      <c r="B123" s="122">
        <v>9255807</v>
      </c>
      <c r="C123" s="123" t="s">
        <v>232</v>
      </c>
      <c r="D123" s="124">
        <v>200</v>
      </c>
      <c r="E123" s="125"/>
      <c r="F123" s="126"/>
      <c r="G123" s="127">
        <v>0.4577</v>
      </c>
      <c r="H123" s="128" t="str">
        <f t="shared" si="4"/>
        <v>CZK</v>
      </c>
      <c r="I123" s="129"/>
      <c r="J123" s="130" t="s">
        <v>27</v>
      </c>
      <c r="L123" s="75">
        <f>G123*(1-'FORM-I'!$V$22/100)</f>
        <v>0.4577</v>
      </c>
      <c r="N123" s="11" t="e">
        <f>VLOOKUP(B123,$B$11:B122,1,FALSE)</f>
        <v>#N/A</v>
      </c>
    </row>
    <row r="124" spans="2:14">
      <c r="B124" s="122">
        <v>9255808</v>
      </c>
      <c r="C124" s="123" t="s">
        <v>233</v>
      </c>
      <c r="D124" s="124">
        <v>200</v>
      </c>
      <c r="E124" s="125"/>
      <c r="F124" s="126"/>
      <c r="G124" s="127">
        <v>0.46600000000000003</v>
      </c>
      <c r="H124" s="128" t="str">
        <f t="shared" si="4"/>
        <v>CZK</v>
      </c>
      <c r="I124" s="129"/>
      <c r="J124" s="130" t="s">
        <v>27</v>
      </c>
      <c r="L124" s="75">
        <f>G124*(1-'FORM-I'!$V$22/100)</f>
        <v>0.46600000000000003</v>
      </c>
      <c r="N124" s="11" t="e">
        <f>VLOOKUP(B124,$B$11:B123,1,FALSE)</f>
        <v>#N/A</v>
      </c>
    </row>
    <row r="125" spans="2:14">
      <c r="B125" s="122">
        <v>9255809</v>
      </c>
      <c r="C125" s="123" t="s">
        <v>234</v>
      </c>
      <c r="D125" s="124">
        <v>200</v>
      </c>
      <c r="E125" s="125"/>
      <c r="F125" s="126"/>
      <c r="G125" s="127">
        <v>0.47410000000000002</v>
      </c>
      <c r="H125" s="128" t="str">
        <f t="shared" si="4"/>
        <v>CZK</v>
      </c>
      <c r="I125" s="129"/>
      <c r="J125" s="130" t="s">
        <v>27</v>
      </c>
      <c r="L125" s="75">
        <f>G125*(1-'FORM-I'!$V$22/100)</f>
        <v>0.47410000000000002</v>
      </c>
      <c r="N125" s="11" t="e">
        <f>VLOOKUP(B125,$B$11:B124,1,FALSE)</f>
        <v>#N/A</v>
      </c>
    </row>
    <row r="126" spans="2:14">
      <c r="B126" s="122">
        <v>9255810</v>
      </c>
      <c r="C126" s="123" t="s">
        <v>235</v>
      </c>
      <c r="D126" s="124">
        <v>200</v>
      </c>
      <c r="E126" s="125"/>
      <c r="F126" s="126"/>
      <c r="G126" s="127">
        <v>0.48209999999999997</v>
      </c>
      <c r="H126" s="128" t="str">
        <f t="shared" si="4"/>
        <v>CZK</v>
      </c>
      <c r="I126" s="129"/>
      <c r="J126" s="130" t="s">
        <v>27</v>
      </c>
      <c r="L126" s="75">
        <f>G126*(1-'FORM-I'!$V$22/100)</f>
        <v>0.48209999999999997</v>
      </c>
      <c r="N126" s="11" t="e">
        <f>VLOOKUP(B126,$B$11:B125,1,FALSE)</f>
        <v>#N/A</v>
      </c>
    </row>
    <row r="127" spans="2:14">
      <c r="B127" s="122">
        <v>9255811</v>
      </c>
      <c r="C127" s="123" t="s">
        <v>236</v>
      </c>
      <c r="D127" s="124">
        <v>200</v>
      </c>
      <c r="E127" s="125"/>
      <c r="F127" s="126"/>
      <c r="G127" s="127">
        <v>0.49440000000000001</v>
      </c>
      <c r="H127" s="128" t="str">
        <f t="shared" si="4"/>
        <v>CZK</v>
      </c>
      <c r="I127" s="129"/>
      <c r="J127" s="130" t="s">
        <v>27</v>
      </c>
      <c r="L127" s="75">
        <f>G127*(1-'FORM-I'!$V$22/100)</f>
        <v>0.49440000000000001</v>
      </c>
      <c r="N127" s="11" t="e">
        <f>VLOOKUP(B127,$B$11:B126,1,FALSE)</f>
        <v>#N/A</v>
      </c>
    </row>
    <row r="128" spans="2:14">
      <c r="B128" s="165">
        <v>9255812</v>
      </c>
      <c r="C128" s="166" t="s">
        <v>237</v>
      </c>
      <c r="D128" s="167">
        <v>200</v>
      </c>
      <c r="E128" s="168"/>
      <c r="F128" s="169"/>
      <c r="G128" s="170">
        <v>0.5111</v>
      </c>
      <c r="H128" s="171" t="str">
        <f t="shared" si="4"/>
        <v>CZK</v>
      </c>
      <c r="I128" s="172"/>
      <c r="J128" s="173" t="s">
        <v>27</v>
      </c>
      <c r="L128" s="75">
        <f>G128*(1-'FORM-I'!$V$22/100)</f>
        <v>0.5111</v>
      </c>
      <c r="N128" s="11" t="e">
        <f>VLOOKUP(B128,$B$11:B127,1,FALSE)</f>
        <v>#N/A</v>
      </c>
    </row>
    <row r="129" spans="2:14">
      <c r="B129" s="156">
        <v>9255813</v>
      </c>
      <c r="C129" s="157" t="s">
        <v>238</v>
      </c>
      <c r="D129" s="158">
        <v>200</v>
      </c>
      <c r="E129" s="159"/>
      <c r="F129" s="160"/>
      <c r="G129" s="161">
        <v>0.43659999999999999</v>
      </c>
      <c r="H129" s="162" t="str">
        <f t="shared" si="4"/>
        <v>CZK</v>
      </c>
      <c r="I129" s="163"/>
      <c r="J129" s="164" t="s">
        <v>27</v>
      </c>
      <c r="L129" s="75">
        <f>G129*(1-'FORM-I'!$V$22/100)</f>
        <v>0.43659999999999999</v>
      </c>
      <c r="N129" s="11" t="e">
        <f>VLOOKUP(B129,$B$11:B128,1,FALSE)</f>
        <v>#N/A</v>
      </c>
    </row>
    <row r="130" spans="2:14">
      <c r="B130" s="122">
        <v>9255814</v>
      </c>
      <c r="C130" s="123" t="s">
        <v>239</v>
      </c>
      <c r="D130" s="124">
        <v>200</v>
      </c>
      <c r="E130" s="125"/>
      <c r="F130" s="126"/>
      <c r="G130" s="127">
        <v>0.44159999999999999</v>
      </c>
      <c r="H130" s="128" t="str">
        <f t="shared" si="4"/>
        <v>CZK</v>
      </c>
      <c r="I130" s="129"/>
      <c r="J130" s="130" t="s">
        <v>27</v>
      </c>
      <c r="L130" s="75">
        <f>G130*(1-'FORM-I'!$V$22/100)</f>
        <v>0.44159999999999999</v>
      </c>
      <c r="N130" s="11" t="e">
        <f>VLOOKUP(B130,$B$11:B129,1,FALSE)</f>
        <v>#N/A</v>
      </c>
    </row>
    <row r="131" spans="2:14">
      <c r="B131" s="122">
        <v>9255815</v>
      </c>
      <c r="C131" s="123" t="s">
        <v>240</v>
      </c>
      <c r="D131" s="124">
        <v>200</v>
      </c>
      <c r="E131" s="125"/>
      <c r="F131" s="126"/>
      <c r="G131" s="127">
        <v>0.44969999999999999</v>
      </c>
      <c r="H131" s="128" t="str">
        <f t="shared" si="4"/>
        <v>CZK</v>
      </c>
      <c r="I131" s="129"/>
      <c r="J131" s="130" t="s">
        <v>27</v>
      </c>
      <c r="L131" s="75">
        <f>G131*(1-'FORM-I'!$V$22/100)</f>
        <v>0.44969999999999999</v>
      </c>
      <c r="N131" s="11" t="e">
        <f>VLOOKUP(B131,$B$11:B130,1,FALSE)</f>
        <v>#N/A</v>
      </c>
    </row>
    <row r="132" spans="2:14">
      <c r="B132" s="122">
        <v>9255816</v>
      </c>
      <c r="C132" s="123" t="s">
        <v>241</v>
      </c>
      <c r="D132" s="124">
        <v>200</v>
      </c>
      <c r="E132" s="125"/>
      <c r="F132" s="126"/>
      <c r="G132" s="127">
        <v>0.4577</v>
      </c>
      <c r="H132" s="128" t="str">
        <f t="shared" si="4"/>
        <v>CZK</v>
      </c>
      <c r="I132" s="129"/>
      <c r="J132" s="130" t="s">
        <v>27</v>
      </c>
      <c r="L132" s="75">
        <f>G132*(1-'FORM-I'!$V$22/100)</f>
        <v>0.4577</v>
      </c>
      <c r="N132" s="11" t="e">
        <f>VLOOKUP(B132,$B$11:B131,1,FALSE)</f>
        <v>#N/A</v>
      </c>
    </row>
    <row r="133" spans="2:14">
      <c r="B133" s="122">
        <v>9255817</v>
      </c>
      <c r="C133" s="123" t="s">
        <v>242</v>
      </c>
      <c r="D133" s="124">
        <v>200</v>
      </c>
      <c r="E133" s="125"/>
      <c r="F133" s="126"/>
      <c r="G133" s="127">
        <v>0.46600000000000003</v>
      </c>
      <c r="H133" s="128" t="str">
        <f t="shared" si="4"/>
        <v>CZK</v>
      </c>
      <c r="I133" s="129"/>
      <c r="J133" s="130" t="s">
        <v>27</v>
      </c>
      <c r="L133" s="75">
        <f>G133*(1-'FORM-I'!$V$22/100)</f>
        <v>0.46600000000000003</v>
      </c>
      <c r="N133" s="11" t="e">
        <f>VLOOKUP(B133,$B$11:B132,1,FALSE)</f>
        <v>#N/A</v>
      </c>
    </row>
    <row r="134" spans="2:14">
      <c r="B134" s="122">
        <v>9255818</v>
      </c>
      <c r="C134" s="123" t="s">
        <v>243</v>
      </c>
      <c r="D134" s="124">
        <v>200</v>
      </c>
      <c r="E134" s="125"/>
      <c r="F134" s="126"/>
      <c r="G134" s="127">
        <v>0.47410000000000002</v>
      </c>
      <c r="H134" s="128" t="str">
        <f t="shared" si="4"/>
        <v>CZK</v>
      </c>
      <c r="I134" s="129"/>
      <c r="J134" s="130" t="s">
        <v>27</v>
      </c>
      <c r="L134" s="75">
        <f>G134*(1-'FORM-I'!$V$22/100)</f>
        <v>0.47410000000000002</v>
      </c>
      <c r="N134" s="11" t="e">
        <f>VLOOKUP(B134,$B$11:B133,1,FALSE)</f>
        <v>#N/A</v>
      </c>
    </row>
    <row r="135" spans="2:14">
      <c r="B135" s="122">
        <v>9255819</v>
      </c>
      <c r="C135" s="123" t="s">
        <v>244</v>
      </c>
      <c r="D135" s="124">
        <v>200</v>
      </c>
      <c r="E135" s="125"/>
      <c r="F135" s="126"/>
      <c r="G135" s="127">
        <v>0.48209999999999997</v>
      </c>
      <c r="H135" s="128" t="str">
        <f t="shared" si="4"/>
        <v>CZK</v>
      </c>
      <c r="I135" s="129"/>
      <c r="J135" s="130" t="s">
        <v>27</v>
      </c>
      <c r="L135" s="75">
        <f>G135*(1-'FORM-I'!$V$22/100)</f>
        <v>0.48209999999999997</v>
      </c>
      <c r="N135" s="11" t="e">
        <f>VLOOKUP(B135,$B$11:B134,1,FALSE)</f>
        <v>#N/A</v>
      </c>
    </row>
    <row r="136" spans="2:14">
      <c r="B136" s="122">
        <v>9255820</v>
      </c>
      <c r="C136" s="123" t="s">
        <v>245</v>
      </c>
      <c r="D136" s="124">
        <v>200</v>
      </c>
      <c r="E136" s="125"/>
      <c r="F136" s="126"/>
      <c r="G136" s="127">
        <v>0.49440000000000001</v>
      </c>
      <c r="H136" s="128" t="str">
        <f t="shared" si="4"/>
        <v>CZK</v>
      </c>
      <c r="I136" s="129"/>
      <c r="J136" s="130" t="s">
        <v>27</v>
      </c>
      <c r="L136" s="75">
        <f>G136*(1-'FORM-I'!$V$22/100)</f>
        <v>0.49440000000000001</v>
      </c>
      <c r="N136" s="11" t="e">
        <f>VLOOKUP(B136,$B$11:B135,1,FALSE)</f>
        <v>#N/A</v>
      </c>
    </row>
    <row r="137" spans="2:14">
      <c r="B137" s="165">
        <v>9255821</v>
      </c>
      <c r="C137" s="166" t="s">
        <v>246</v>
      </c>
      <c r="D137" s="167">
        <v>200</v>
      </c>
      <c r="E137" s="168"/>
      <c r="F137" s="169"/>
      <c r="G137" s="170">
        <v>0.5111</v>
      </c>
      <c r="H137" s="171" t="str">
        <f t="shared" si="4"/>
        <v>CZK</v>
      </c>
      <c r="I137" s="172"/>
      <c r="J137" s="173" t="s">
        <v>27</v>
      </c>
      <c r="L137" s="75">
        <f>G137*(1-'FORM-I'!$V$22/100)</f>
        <v>0.5111</v>
      </c>
      <c r="N137" s="11" t="e">
        <f>VLOOKUP(B137,$B$11:B136,1,FALSE)</f>
        <v>#N/A</v>
      </c>
    </row>
    <row r="138" spans="2:14">
      <c r="B138" s="156">
        <v>9255822</v>
      </c>
      <c r="C138" s="157" t="s">
        <v>247</v>
      </c>
      <c r="D138" s="158">
        <v>200</v>
      </c>
      <c r="E138" s="159"/>
      <c r="F138" s="160"/>
      <c r="G138" s="161">
        <v>0.43659999999999999</v>
      </c>
      <c r="H138" s="162" t="str">
        <f t="shared" si="4"/>
        <v>CZK</v>
      </c>
      <c r="I138" s="163"/>
      <c r="J138" s="164" t="s">
        <v>27</v>
      </c>
      <c r="L138" s="75">
        <f>G138*(1-'FORM-I'!$V$22/100)</f>
        <v>0.43659999999999999</v>
      </c>
      <c r="N138" s="11" t="e">
        <f>VLOOKUP(B138,$B$11:B137,1,FALSE)</f>
        <v>#N/A</v>
      </c>
    </row>
    <row r="139" spans="2:14">
      <c r="B139" s="122">
        <v>9255823</v>
      </c>
      <c r="C139" s="123" t="s">
        <v>248</v>
      </c>
      <c r="D139" s="124">
        <v>200</v>
      </c>
      <c r="E139" s="125"/>
      <c r="F139" s="126"/>
      <c r="G139" s="127">
        <v>0.44159999999999999</v>
      </c>
      <c r="H139" s="128" t="str">
        <f t="shared" si="4"/>
        <v>CZK</v>
      </c>
      <c r="I139" s="129"/>
      <c r="J139" s="130" t="s">
        <v>27</v>
      </c>
      <c r="L139" s="75">
        <f>G139*(1-'FORM-I'!$V$22/100)</f>
        <v>0.44159999999999999</v>
      </c>
      <c r="N139" s="11" t="e">
        <f>VLOOKUP(B139,$B$11:B138,1,FALSE)</f>
        <v>#N/A</v>
      </c>
    </row>
    <row r="140" spans="2:14">
      <c r="B140" s="122">
        <v>9255824</v>
      </c>
      <c r="C140" s="123" t="s">
        <v>249</v>
      </c>
      <c r="D140" s="124">
        <v>200</v>
      </c>
      <c r="E140" s="125"/>
      <c r="F140" s="126"/>
      <c r="G140" s="127">
        <v>0.44969999999999999</v>
      </c>
      <c r="H140" s="128" t="str">
        <f t="shared" si="4"/>
        <v>CZK</v>
      </c>
      <c r="I140" s="129"/>
      <c r="J140" s="130" t="s">
        <v>27</v>
      </c>
      <c r="L140" s="75">
        <f>G140*(1-'FORM-I'!$V$22/100)</f>
        <v>0.44969999999999999</v>
      </c>
      <c r="N140" s="11" t="e">
        <f>VLOOKUP(B140,$B$11:B139,1,FALSE)</f>
        <v>#N/A</v>
      </c>
    </row>
    <row r="141" spans="2:14">
      <c r="B141" s="122">
        <v>9255825</v>
      </c>
      <c r="C141" s="123" t="s">
        <v>250</v>
      </c>
      <c r="D141" s="124">
        <v>200</v>
      </c>
      <c r="E141" s="125"/>
      <c r="F141" s="126"/>
      <c r="G141" s="127">
        <v>0.4577</v>
      </c>
      <c r="H141" s="128" t="str">
        <f t="shared" si="4"/>
        <v>CZK</v>
      </c>
      <c r="I141" s="129"/>
      <c r="J141" s="130" t="s">
        <v>27</v>
      </c>
      <c r="L141" s="75">
        <f>G141*(1-'FORM-I'!$V$22/100)</f>
        <v>0.4577</v>
      </c>
      <c r="N141" s="11" t="e">
        <f>VLOOKUP(B141,$B$11:B140,1,FALSE)</f>
        <v>#N/A</v>
      </c>
    </row>
    <row r="142" spans="2:14">
      <c r="B142" s="122">
        <v>9255826</v>
      </c>
      <c r="C142" s="123" t="s">
        <v>251</v>
      </c>
      <c r="D142" s="124">
        <v>200</v>
      </c>
      <c r="E142" s="125"/>
      <c r="F142" s="126"/>
      <c r="G142" s="127">
        <v>0.46600000000000003</v>
      </c>
      <c r="H142" s="128" t="str">
        <f t="shared" si="4"/>
        <v>CZK</v>
      </c>
      <c r="I142" s="129"/>
      <c r="J142" s="130" t="s">
        <v>27</v>
      </c>
      <c r="L142" s="75">
        <f>G142*(1-'FORM-I'!$V$22/100)</f>
        <v>0.46600000000000003</v>
      </c>
      <c r="N142" s="11" t="e">
        <f>VLOOKUP(B142,$B$11:B141,1,FALSE)</f>
        <v>#N/A</v>
      </c>
    </row>
    <row r="143" spans="2:14">
      <c r="B143" s="122">
        <v>9255827</v>
      </c>
      <c r="C143" s="123" t="s">
        <v>252</v>
      </c>
      <c r="D143" s="124">
        <v>200</v>
      </c>
      <c r="E143" s="125"/>
      <c r="F143" s="126"/>
      <c r="G143" s="127">
        <v>0.47410000000000002</v>
      </c>
      <c r="H143" s="128" t="str">
        <f t="shared" si="4"/>
        <v>CZK</v>
      </c>
      <c r="I143" s="129"/>
      <c r="J143" s="130" t="s">
        <v>27</v>
      </c>
      <c r="L143" s="75">
        <f>G143*(1-'FORM-I'!$V$22/100)</f>
        <v>0.47410000000000002</v>
      </c>
      <c r="N143" s="11" t="e">
        <f>VLOOKUP(B143,$B$11:B142,1,FALSE)</f>
        <v>#N/A</v>
      </c>
    </row>
    <row r="144" spans="2:14">
      <c r="B144" s="122">
        <v>9255828</v>
      </c>
      <c r="C144" s="123" t="s">
        <v>253</v>
      </c>
      <c r="D144" s="124">
        <v>200</v>
      </c>
      <c r="E144" s="125"/>
      <c r="F144" s="126"/>
      <c r="G144" s="127">
        <v>0.48209999999999997</v>
      </c>
      <c r="H144" s="128" t="str">
        <f t="shared" si="4"/>
        <v>CZK</v>
      </c>
      <c r="I144" s="129"/>
      <c r="J144" s="130" t="s">
        <v>27</v>
      </c>
      <c r="L144" s="75">
        <f>G144*(1-'FORM-I'!$V$22/100)</f>
        <v>0.48209999999999997</v>
      </c>
      <c r="N144" s="11" t="e">
        <f>VLOOKUP(B144,$B$11:B143,1,FALSE)</f>
        <v>#N/A</v>
      </c>
    </row>
    <row r="145" spans="1:14">
      <c r="B145" s="122">
        <v>9255829</v>
      </c>
      <c r="C145" s="123" t="s">
        <v>254</v>
      </c>
      <c r="D145" s="124">
        <v>200</v>
      </c>
      <c r="E145" s="125"/>
      <c r="F145" s="126"/>
      <c r="G145" s="127">
        <v>0.49440000000000001</v>
      </c>
      <c r="H145" s="128" t="str">
        <f t="shared" si="4"/>
        <v>CZK</v>
      </c>
      <c r="I145" s="129"/>
      <c r="J145" s="130" t="s">
        <v>27</v>
      </c>
      <c r="L145" s="75">
        <f>G145*(1-'FORM-I'!$V$22/100)</f>
        <v>0.49440000000000001</v>
      </c>
      <c r="N145" s="11" t="e">
        <f>VLOOKUP(B145,$B$11:B144,1,FALSE)</f>
        <v>#N/A</v>
      </c>
    </row>
    <row r="146" spans="1:14">
      <c r="B146" s="165">
        <v>9255830</v>
      </c>
      <c r="C146" s="166" t="s">
        <v>255</v>
      </c>
      <c r="D146" s="167">
        <v>200</v>
      </c>
      <c r="E146" s="168"/>
      <c r="F146" s="169"/>
      <c r="G146" s="170">
        <v>0.5111</v>
      </c>
      <c r="H146" s="171" t="str">
        <f t="shared" si="4"/>
        <v>CZK</v>
      </c>
      <c r="I146" s="172"/>
      <c r="J146" s="173" t="s">
        <v>27</v>
      </c>
      <c r="L146" s="75">
        <f>G146*(1-'FORM-I'!$V$22/100)</f>
        <v>0.5111</v>
      </c>
      <c r="N146" s="11" t="e">
        <f>VLOOKUP(B146,$B$11:B145,1,FALSE)</f>
        <v>#N/A</v>
      </c>
    </row>
    <row r="147" spans="1:14">
      <c r="B147" s="156">
        <v>9255835</v>
      </c>
      <c r="C147" s="157" t="s">
        <v>256</v>
      </c>
      <c r="D147" s="158">
        <v>200</v>
      </c>
      <c r="E147" s="159"/>
      <c r="F147" s="160"/>
      <c r="G147" s="161">
        <v>1.2642</v>
      </c>
      <c r="H147" s="162" t="str">
        <f t="shared" si="4"/>
        <v>CZK</v>
      </c>
      <c r="I147" s="163"/>
      <c r="J147" s="164" t="s">
        <v>27</v>
      </c>
      <c r="L147" s="75">
        <f>G147*(1-'FORM-I'!$V$22/100)</f>
        <v>1.2642</v>
      </c>
      <c r="N147" s="11" t="e">
        <f>VLOOKUP(B147,$B$11:B146,1,FALSE)</f>
        <v>#N/A</v>
      </c>
    </row>
    <row r="148" spans="1:14">
      <c r="B148" s="165">
        <v>9255836</v>
      </c>
      <c r="C148" s="166" t="s">
        <v>257</v>
      </c>
      <c r="D148" s="167">
        <v>200</v>
      </c>
      <c r="E148" s="168"/>
      <c r="F148" s="169"/>
      <c r="G148" s="170">
        <v>1.2951999999999999</v>
      </c>
      <c r="H148" s="171" t="str">
        <f t="shared" si="4"/>
        <v>CZK</v>
      </c>
      <c r="I148" s="172"/>
      <c r="J148" s="173" t="s">
        <v>27</v>
      </c>
      <c r="L148" s="75">
        <f>G148*(1-'FORM-I'!$V$22/100)</f>
        <v>1.2951999999999999</v>
      </c>
      <c r="N148" s="11" t="e">
        <f>VLOOKUP(B148,$B$11:B147,1,FALSE)</f>
        <v>#N/A</v>
      </c>
    </row>
    <row r="149" spans="1:14">
      <c r="B149" s="174"/>
      <c r="C149" s="148"/>
      <c r="D149" s="149"/>
      <c r="E149" s="175"/>
      <c r="F149" s="151"/>
      <c r="G149" s="152"/>
      <c r="H149" s="153"/>
      <c r="I149" s="154"/>
      <c r="J149" s="155"/>
      <c r="L149" s="75">
        <f>G149*(1-'FORM-I'!$V$22/100)</f>
        <v>0</v>
      </c>
      <c r="N149" s="11" t="e">
        <f>VLOOKUP(B149,$B$11:B148,1,FALSE)</f>
        <v>#N/A</v>
      </c>
    </row>
    <row r="150" spans="1:14">
      <c r="A150" s="67"/>
      <c r="B150" s="156">
        <v>9255254</v>
      </c>
      <c r="C150" s="157" t="s">
        <v>258</v>
      </c>
      <c r="D150" s="158">
        <v>1</v>
      </c>
      <c r="E150" s="159"/>
      <c r="F150" s="160"/>
      <c r="G150" s="161">
        <v>32.463299999999997</v>
      </c>
      <c r="H150" s="162" t="str">
        <f t="shared" ref="H150:H190" si="6">IF(G150="","",$H$10)</f>
        <v>CZK</v>
      </c>
      <c r="I150" s="163"/>
      <c r="J150" s="164" t="s">
        <v>27</v>
      </c>
      <c r="L150" s="75">
        <f>G150*(1-'FORM-I'!$V$22/100)</f>
        <v>32.463299999999997</v>
      </c>
      <c r="N150" s="11" t="e">
        <f>VLOOKUP(B150,$B$11:B149,1,FALSE)</f>
        <v>#N/A</v>
      </c>
    </row>
    <row r="151" spans="1:14">
      <c r="A151" s="67"/>
      <c r="B151" s="122">
        <v>9255255</v>
      </c>
      <c r="C151" s="123" t="s">
        <v>259</v>
      </c>
      <c r="D151" s="124">
        <v>1</v>
      </c>
      <c r="E151" s="125"/>
      <c r="F151" s="126"/>
      <c r="G151" s="127">
        <v>32.880600000000001</v>
      </c>
      <c r="H151" s="128" t="str">
        <f t="shared" si="6"/>
        <v>CZK</v>
      </c>
      <c r="I151" s="129"/>
      <c r="J151" s="130" t="s">
        <v>27</v>
      </c>
      <c r="L151" s="75">
        <f>G151*(1-'FORM-I'!$V$22/100)</f>
        <v>32.880600000000001</v>
      </c>
      <c r="N151" s="11" t="e">
        <f>VLOOKUP(B151,$B$11:B150,1,FALSE)</f>
        <v>#N/A</v>
      </c>
    </row>
    <row r="152" spans="1:14">
      <c r="A152" s="67"/>
      <c r="B152" s="122">
        <v>9255256</v>
      </c>
      <c r="C152" s="123" t="s">
        <v>260</v>
      </c>
      <c r="D152" s="124">
        <v>1</v>
      </c>
      <c r="E152" s="125"/>
      <c r="F152" s="126"/>
      <c r="G152" s="127">
        <v>33.297899999999998</v>
      </c>
      <c r="H152" s="128" t="str">
        <f t="shared" si="6"/>
        <v>CZK</v>
      </c>
      <c r="I152" s="129"/>
      <c r="J152" s="130" t="s">
        <v>27</v>
      </c>
      <c r="L152" s="75">
        <f>G152*(1-'FORM-I'!$V$22/100)</f>
        <v>33.297899999999998</v>
      </c>
      <c r="N152" s="11" t="e">
        <f>VLOOKUP(B152,$B$11:B151,1,FALSE)</f>
        <v>#N/A</v>
      </c>
    </row>
    <row r="153" spans="1:14">
      <c r="A153" s="67"/>
      <c r="B153" s="122">
        <v>9255257</v>
      </c>
      <c r="C153" s="123" t="s">
        <v>261</v>
      </c>
      <c r="D153" s="124">
        <v>1</v>
      </c>
      <c r="E153" s="125"/>
      <c r="F153" s="126"/>
      <c r="G153" s="127">
        <v>33.715699999999998</v>
      </c>
      <c r="H153" s="128" t="str">
        <f t="shared" si="6"/>
        <v>CZK</v>
      </c>
      <c r="I153" s="129"/>
      <c r="J153" s="130" t="s">
        <v>27</v>
      </c>
      <c r="L153" s="75">
        <f>G153*(1-'FORM-I'!$V$22/100)</f>
        <v>33.715699999999998</v>
      </c>
      <c r="N153" s="11" t="e">
        <f>VLOOKUP(B153,$B$11:B152,1,FALSE)</f>
        <v>#N/A</v>
      </c>
    </row>
    <row r="154" spans="1:14">
      <c r="A154" s="67"/>
      <c r="B154" s="122">
        <v>9255258</v>
      </c>
      <c r="C154" s="123" t="s">
        <v>262</v>
      </c>
      <c r="D154" s="124">
        <v>1</v>
      </c>
      <c r="E154" s="125"/>
      <c r="F154" s="126"/>
      <c r="G154" s="127">
        <v>34.133200000000002</v>
      </c>
      <c r="H154" s="128" t="str">
        <f t="shared" si="6"/>
        <v>CZK</v>
      </c>
      <c r="I154" s="129"/>
      <c r="J154" s="130" t="s">
        <v>27</v>
      </c>
      <c r="L154" s="75">
        <f>G154*(1-'FORM-I'!$V$22/100)</f>
        <v>34.133200000000002</v>
      </c>
      <c r="N154" s="11" t="e">
        <f>VLOOKUP(B154,$B$11:B153,1,FALSE)</f>
        <v>#N/A</v>
      </c>
    </row>
    <row r="155" spans="1:14">
      <c r="A155" s="67"/>
      <c r="B155" s="122">
        <v>9255259</v>
      </c>
      <c r="C155" s="123" t="s">
        <v>263</v>
      </c>
      <c r="D155" s="124">
        <v>1</v>
      </c>
      <c r="E155" s="125"/>
      <c r="F155" s="126"/>
      <c r="G155" s="127">
        <v>34.5503</v>
      </c>
      <c r="H155" s="128" t="str">
        <f t="shared" si="6"/>
        <v>CZK</v>
      </c>
      <c r="I155" s="129"/>
      <c r="J155" s="130" t="s">
        <v>27</v>
      </c>
      <c r="L155" s="75">
        <f>G155*(1-'FORM-I'!$V$22/100)</f>
        <v>34.5503</v>
      </c>
      <c r="N155" s="11" t="e">
        <f>VLOOKUP(B155,$B$11:B154,1,FALSE)</f>
        <v>#N/A</v>
      </c>
    </row>
    <row r="156" spans="1:14">
      <c r="A156" s="67"/>
      <c r="B156" s="165">
        <v>9255260</v>
      </c>
      <c r="C156" s="166" t="s">
        <v>264</v>
      </c>
      <c r="D156" s="167">
        <v>1</v>
      </c>
      <c r="E156" s="168"/>
      <c r="F156" s="169"/>
      <c r="G156" s="170">
        <v>35.180300000000003</v>
      </c>
      <c r="H156" s="171" t="str">
        <f t="shared" si="6"/>
        <v>CZK</v>
      </c>
      <c r="I156" s="172"/>
      <c r="J156" s="173" t="s">
        <v>27</v>
      </c>
      <c r="L156" s="75">
        <f>G156*(1-'FORM-I'!$V$22/100)</f>
        <v>35.180300000000003</v>
      </c>
      <c r="N156" s="11" t="e">
        <f>VLOOKUP(B156,$B$11:B155,1,FALSE)</f>
        <v>#N/A</v>
      </c>
    </row>
    <row r="157" spans="1:14">
      <c r="A157" s="102"/>
      <c r="B157" s="156">
        <v>9255294</v>
      </c>
      <c r="C157" s="157" t="s">
        <v>265</v>
      </c>
      <c r="D157" s="158">
        <v>1</v>
      </c>
      <c r="E157" s="159"/>
      <c r="F157" s="160"/>
      <c r="G157" s="161">
        <v>32.463299999999997</v>
      </c>
      <c r="H157" s="162" t="str">
        <f t="shared" si="6"/>
        <v>CZK</v>
      </c>
      <c r="I157" s="163"/>
      <c r="J157" s="164" t="s">
        <v>27</v>
      </c>
      <c r="L157" s="75">
        <f>G157*(1-'FORM-I'!$V$22/100)</f>
        <v>32.463299999999997</v>
      </c>
      <c r="N157" s="11" t="e">
        <f>VLOOKUP(B157,$B$11:B156,1,FALSE)</f>
        <v>#N/A</v>
      </c>
    </row>
    <row r="158" spans="1:14">
      <c r="A158" s="102"/>
      <c r="B158" s="122">
        <v>9255295</v>
      </c>
      <c r="C158" s="123" t="s">
        <v>266</v>
      </c>
      <c r="D158" s="124">
        <v>1</v>
      </c>
      <c r="E158" s="125"/>
      <c r="F158" s="126"/>
      <c r="G158" s="127">
        <v>32.880600000000001</v>
      </c>
      <c r="H158" s="128" t="str">
        <f t="shared" si="6"/>
        <v>CZK</v>
      </c>
      <c r="I158" s="129"/>
      <c r="J158" s="130" t="s">
        <v>27</v>
      </c>
      <c r="L158" s="75">
        <f>G158*(1-'FORM-I'!$V$22/100)</f>
        <v>32.880600000000001</v>
      </c>
      <c r="N158" s="11" t="e">
        <f>VLOOKUP(B158,$B$11:B157,1,FALSE)</f>
        <v>#N/A</v>
      </c>
    </row>
    <row r="159" spans="1:14">
      <c r="A159" s="102"/>
      <c r="B159" s="122">
        <v>9255296</v>
      </c>
      <c r="C159" s="123" t="s">
        <v>267</v>
      </c>
      <c r="D159" s="124">
        <v>1</v>
      </c>
      <c r="E159" s="125"/>
      <c r="F159" s="126"/>
      <c r="G159" s="127">
        <v>33.297899999999998</v>
      </c>
      <c r="H159" s="128" t="str">
        <f t="shared" si="6"/>
        <v>CZK</v>
      </c>
      <c r="I159" s="129"/>
      <c r="J159" s="130" t="s">
        <v>27</v>
      </c>
      <c r="L159" s="75">
        <f>G159*(1-'FORM-I'!$V$22/100)</f>
        <v>33.297899999999998</v>
      </c>
      <c r="N159" s="11" t="e">
        <f>VLOOKUP(B159,$B$11:B158,1,FALSE)</f>
        <v>#N/A</v>
      </c>
    </row>
    <row r="160" spans="1:14">
      <c r="A160" s="102"/>
      <c r="B160" s="122">
        <v>9255297</v>
      </c>
      <c r="C160" s="123" t="s">
        <v>268</v>
      </c>
      <c r="D160" s="124">
        <v>1</v>
      </c>
      <c r="E160" s="125"/>
      <c r="F160" s="126"/>
      <c r="G160" s="127">
        <v>33.715699999999998</v>
      </c>
      <c r="H160" s="128" t="str">
        <f t="shared" si="6"/>
        <v>CZK</v>
      </c>
      <c r="I160" s="129"/>
      <c r="J160" s="130" t="s">
        <v>27</v>
      </c>
      <c r="L160" s="75">
        <f>G160*(1-'FORM-I'!$V$22/100)</f>
        <v>33.715699999999998</v>
      </c>
      <c r="N160" s="11" t="e">
        <f>VLOOKUP(B160,$B$11:B159,1,FALSE)</f>
        <v>#N/A</v>
      </c>
    </row>
    <row r="161" spans="1:14">
      <c r="A161" s="102"/>
      <c r="B161" s="122">
        <v>9255298</v>
      </c>
      <c r="C161" s="123" t="s">
        <v>269</v>
      </c>
      <c r="D161" s="124">
        <v>1</v>
      </c>
      <c r="E161" s="125"/>
      <c r="F161" s="126"/>
      <c r="G161" s="127">
        <v>34.133200000000002</v>
      </c>
      <c r="H161" s="128" t="str">
        <f t="shared" si="6"/>
        <v>CZK</v>
      </c>
      <c r="I161" s="129"/>
      <c r="J161" s="130" t="s">
        <v>27</v>
      </c>
      <c r="L161" s="75">
        <f>G161*(1-'FORM-I'!$V$22/100)</f>
        <v>34.133200000000002</v>
      </c>
      <c r="N161" s="11" t="e">
        <f>VLOOKUP(B161,$B$11:B160,1,FALSE)</f>
        <v>#N/A</v>
      </c>
    </row>
    <row r="162" spans="1:14">
      <c r="A162" s="102"/>
      <c r="B162" s="122">
        <v>9255299</v>
      </c>
      <c r="C162" s="123" t="s">
        <v>270</v>
      </c>
      <c r="D162" s="124">
        <v>1</v>
      </c>
      <c r="E162" s="125"/>
      <c r="F162" s="126"/>
      <c r="G162" s="127">
        <v>34.5503</v>
      </c>
      <c r="H162" s="128" t="str">
        <f t="shared" si="6"/>
        <v>CZK</v>
      </c>
      <c r="I162" s="129"/>
      <c r="J162" s="130" t="s">
        <v>27</v>
      </c>
      <c r="L162" s="75">
        <f>G162*(1-'FORM-I'!$V$22/100)</f>
        <v>34.5503</v>
      </c>
      <c r="N162" s="11" t="e">
        <f>VLOOKUP(B162,$B$11:B161,1,FALSE)</f>
        <v>#N/A</v>
      </c>
    </row>
    <row r="163" spans="1:14">
      <c r="A163" s="102"/>
      <c r="B163" s="165">
        <v>9255300</v>
      </c>
      <c r="C163" s="166" t="s">
        <v>271</v>
      </c>
      <c r="D163" s="167">
        <v>1</v>
      </c>
      <c r="E163" s="168"/>
      <c r="F163" s="169"/>
      <c r="G163" s="170">
        <v>35.180300000000003</v>
      </c>
      <c r="H163" s="171" t="str">
        <f t="shared" si="6"/>
        <v>CZK</v>
      </c>
      <c r="I163" s="172"/>
      <c r="J163" s="173" t="s">
        <v>27</v>
      </c>
      <c r="L163" s="75">
        <f>G163*(1-'FORM-I'!$V$22/100)</f>
        <v>35.180300000000003</v>
      </c>
      <c r="N163" s="11" t="e">
        <f>VLOOKUP(B163,$B$11:B162,1,FALSE)</f>
        <v>#N/A</v>
      </c>
    </row>
    <row r="164" spans="1:14">
      <c r="A164" s="112"/>
      <c r="B164" s="156">
        <v>9255334</v>
      </c>
      <c r="C164" s="157" t="s">
        <v>272</v>
      </c>
      <c r="D164" s="158">
        <v>1</v>
      </c>
      <c r="E164" s="159"/>
      <c r="F164" s="160"/>
      <c r="G164" s="161">
        <v>32.463299999999997</v>
      </c>
      <c r="H164" s="162" t="str">
        <f t="shared" si="6"/>
        <v>CZK</v>
      </c>
      <c r="I164" s="163"/>
      <c r="J164" s="164" t="s">
        <v>27</v>
      </c>
      <c r="L164" s="75">
        <f>G164*(1-'FORM-I'!$V$22/100)</f>
        <v>32.463299999999997</v>
      </c>
      <c r="N164" s="11" t="e">
        <f>VLOOKUP(B164,$B$11:B163,1,FALSE)</f>
        <v>#N/A</v>
      </c>
    </row>
    <row r="165" spans="1:14">
      <c r="A165" s="112"/>
      <c r="B165" s="122">
        <v>9255335</v>
      </c>
      <c r="C165" s="123" t="s">
        <v>273</v>
      </c>
      <c r="D165" s="124">
        <v>1</v>
      </c>
      <c r="E165" s="125"/>
      <c r="F165" s="126"/>
      <c r="G165" s="127">
        <v>32.880600000000001</v>
      </c>
      <c r="H165" s="128" t="str">
        <f t="shared" si="6"/>
        <v>CZK</v>
      </c>
      <c r="I165" s="129"/>
      <c r="J165" s="130" t="s">
        <v>27</v>
      </c>
      <c r="L165" s="75">
        <f>G165*(1-'FORM-I'!$V$22/100)</f>
        <v>32.880600000000001</v>
      </c>
      <c r="N165" s="11" t="e">
        <f>VLOOKUP(B165,$B$11:B164,1,FALSE)</f>
        <v>#N/A</v>
      </c>
    </row>
    <row r="166" spans="1:14">
      <c r="A166" s="112"/>
      <c r="B166" s="122">
        <v>9255336</v>
      </c>
      <c r="C166" s="123" t="s">
        <v>274</v>
      </c>
      <c r="D166" s="124">
        <v>1</v>
      </c>
      <c r="E166" s="125"/>
      <c r="F166" s="126"/>
      <c r="G166" s="127">
        <v>33.297899999999998</v>
      </c>
      <c r="H166" s="128" t="str">
        <f t="shared" si="6"/>
        <v>CZK</v>
      </c>
      <c r="I166" s="129"/>
      <c r="J166" s="130" t="s">
        <v>27</v>
      </c>
      <c r="L166" s="75">
        <f>G166*(1-'FORM-I'!$V$22/100)</f>
        <v>33.297899999999998</v>
      </c>
      <c r="N166" s="11" t="e">
        <f>VLOOKUP(B166,$B$11:B165,1,FALSE)</f>
        <v>#N/A</v>
      </c>
    </row>
    <row r="167" spans="1:14">
      <c r="A167" s="112"/>
      <c r="B167" s="122">
        <v>9255337</v>
      </c>
      <c r="C167" s="123" t="s">
        <v>275</v>
      </c>
      <c r="D167" s="124">
        <v>1</v>
      </c>
      <c r="E167" s="125"/>
      <c r="F167" s="126"/>
      <c r="G167" s="127">
        <v>33.715699999999998</v>
      </c>
      <c r="H167" s="128" t="str">
        <f t="shared" si="6"/>
        <v>CZK</v>
      </c>
      <c r="I167" s="129"/>
      <c r="J167" s="130" t="s">
        <v>27</v>
      </c>
      <c r="L167" s="75">
        <f>G167*(1-'FORM-I'!$V$22/100)</f>
        <v>33.715699999999998</v>
      </c>
      <c r="N167" s="11" t="e">
        <f>VLOOKUP(B167,$B$11:B166,1,FALSE)</f>
        <v>#N/A</v>
      </c>
    </row>
    <row r="168" spans="1:14">
      <c r="A168" s="112"/>
      <c r="B168" s="122">
        <v>9255338</v>
      </c>
      <c r="C168" s="123" t="s">
        <v>276</v>
      </c>
      <c r="D168" s="124">
        <v>1</v>
      </c>
      <c r="E168" s="125"/>
      <c r="F168" s="126"/>
      <c r="G168" s="127">
        <v>34.133200000000002</v>
      </c>
      <c r="H168" s="128" t="str">
        <f t="shared" si="6"/>
        <v>CZK</v>
      </c>
      <c r="I168" s="129"/>
      <c r="J168" s="130" t="s">
        <v>27</v>
      </c>
      <c r="L168" s="75">
        <f>G168*(1-'FORM-I'!$V$22/100)</f>
        <v>34.133200000000002</v>
      </c>
      <c r="N168" s="11" t="e">
        <f>VLOOKUP(B168,$B$11:B167,1,FALSE)</f>
        <v>#N/A</v>
      </c>
    </row>
    <row r="169" spans="1:14">
      <c r="A169" s="112"/>
      <c r="B169" s="122">
        <v>9255339</v>
      </c>
      <c r="C169" s="123" t="s">
        <v>277</v>
      </c>
      <c r="D169" s="124">
        <v>1</v>
      </c>
      <c r="E169" s="125"/>
      <c r="F169" s="126"/>
      <c r="G169" s="127">
        <v>34.5503</v>
      </c>
      <c r="H169" s="128" t="str">
        <f t="shared" si="6"/>
        <v>CZK</v>
      </c>
      <c r="I169" s="129"/>
      <c r="J169" s="130" t="s">
        <v>27</v>
      </c>
      <c r="L169" s="75">
        <f>G169*(1-'FORM-I'!$V$22/100)</f>
        <v>34.5503</v>
      </c>
      <c r="N169" s="11" t="e">
        <f>VLOOKUP(B169,$B$11:B168,1,FALSE)</f>
        <v>#N/A</v>
      </c>
    </row>
    <row r="170" spans="1:14">
      <c r="A170" s="112"/>
      <c r="B170" s="165">
        <v>9255340</v>
      </c>
      <c r="C170" s="166" t="s">
        <v>278</v>
      </c>
      <c r="D170" s="167">
        <v>1</v>
      </c>
      <c r="E170" s="168"/>
      <c r="F170" s="169"/>
      <c r="G170" s="170">
        <v>35.180300000000003</v>
      </c>
      <c r="H170" s="171" t="str">
        <f t="shared" si="6"/>
        <v>CZK</v>
      </c>
      <c r="I170" s="172"/>
      <c r="J170" s="173" t="s">
        <v>27</v>
      </c>
      <c r="L170" s="75">
        <f>G170*(1-'FORM-I'!$V$22/100)</f>
        <v>35.180300000000003</v>
      </c>
      <c r="N170" s="11" t="e">
        <f>VLOOKUP(B170,$B$11:B169,1,FALSE)</f>
        <v>#N/A</v>
      </c>
    </row>
    <row r="171" spans="1:14">
      <c r="A171" s="67"/>
      <c r="B171" s="156">
        <v>9255028</v>
      </c>
      <c r="C171" s="157" t="s">
        <v>279</v>
      </c>
      <c r="D171" s="158">
        <v>20</v>
      </c>
      <c r="E171" s="159"/>
      <c r="F171" s="160"/>
      <c r="G171" s="161">
        <v>10.8985</v>
      </c>
      <c r="H171" s="162" t="str">
        <f t="shared" si="6"/>
        <v>CZK</v>
      </c>
      <c r="I171" s="163"/>
      <c r="J171" s="164" t="s">
        <v>27</v>
      </c>
      <c r="L171" s="75">
        <f>G171*(1-'FORM-I'!$V$22/100)</f>
        <v>10.8985</v>
      </c>
      <c r="N171" s="11" t="e">
        <f>VLOOKUP(B171,$B$11:B170,1,FALSE)</f>
        <v>#N/A</v>
      </c>
    </row>
    <row r="172" spans="1:14">
      <c r="A172" s="67"/>
      <c r="B172" s="122">
        <v>9255029</v>
      </c>
      <c r="C172" s="123" t="s">
        <v>280</v>
      </c>
      <c r="D172" s="124">
        <v>20</v>
      </c>
      <c r="E172" s="125"/>
      <c r="F172" s="126"/>
      <c r="G172" s="127">
        <v>10.8985</v>
      </c>
      <c r="H172" s="128" t="str">
        <f t="shared" si="6"/>
        <v>CZK</v>
      </c>
      <c r="I172" s="129"/>
      <c r="J172" s="130" t="s">
        <v>27</v>
      </c>
      <c r="L172" s="75">
        <f>G172*(1-'FORM-I'!$V$22/100)</f>
        <v>10.8985</v>
      </c>
      <c r="N172" s="11" t="e">
        <f>VLOOKUP(B172,$B$11:B171,1,FALSE)</f>
        <v>#N/A</v>
      </c>
    </row>
    <row r="173" spans="1:14">
      <c r="A173" s="67"/>
      <c r="B173" s="122">
        <v>9255030</v>
      </c>
      <c r="C173" s="123" t="s">
        <v>281</v>
      </c>
      <c r="D173" s="124">
        <v>20</v>
      </c>
      <c r="E173" s="125"/>
      <c r="F173" s="126"/>
      <c r="G173" s="127">
        <v>11.0992</v>
      </c>
      <c r="H173" s="128" t="str">
        <f t="shared" si="6"/>
        <v>CZK</v>
      </c>
      <c r="I173" s="129"/>
      <c r="J173" s="130" t="s">
        <v>27</v>
      </c>
      <c r="L173" s="75">
        <f>G173*(1-'FORM-I'!$V$22/100)</f>
        <v>11.0992</v>
      </c>
      <c r="N173" s="11" t="e">
        <f>VLOOKUP(B173,$B$11:B172,1,FALSE)</f>
        <v>#N/A</v>
      </c>
    </row>
    <row r="174" spans="1:14">
      <c r="A174" s="67"/>
      <c r="B174" s="122">
        <v>9255031</v>
      </c>
      <c r="C174" s="123" t="s">
        <v>282</v>
      </c>
      <c r="D174" s="124">
        <v>20</v>
      </c>
      <c r="E174" s="125"/>
      <c r="F174" s="126"/>
      <c r="G174" s="127">
        <v>11.0992</v>
      </c>
      <c r="H174" s="128" t="str">
        <f t="shared" si="6"/>
        <v>CZK</v>
      </c>
      <c r="I174" s="129"/>
      <c r="J174" s="130" t="s">
        <v>27</v>
      </c>
      <c r="L174" s="75">
        <f>G174*(1-'FORM-I'!$V$22/100)</f>
        <v>11.0992</v>
      </c>
      <c r="N174" s="11" t="e">
        <f>VLOOKUP(B174,$B$11:B173,1,FALSE)</f>
        <v>#N/A</v>
      </c>
    </row>
    <row r="175" spans="1:14">
      <c r="A175" s="67"/>
      <c r="B175" s="122">
        <v>9255032</v>
      </c>
      <c r="C175" s="123" t="s">
        <v>283</v>
      </c>
      <c r="D175" s="124">
        <v>20</v>
      </c>
      <c r="E175" s="125"/>
      <c r="F175" s="126"/>
      <c r="G175" s="127">
        <v>11.299899999999999</v>
      </c>
      <c r="H175" s="128" t="str">
        <f t="shared" si="6"/>
        <v>CZK</v>
      </c>
      <c r="I175" s="129"/>
      <c r="J175" s="130" t="s">
        <v>27</v>
      </c>
      <c r="L175" s="75">
        <f>G175*(1-'FORM-I'!$V$22/100)</f>
        <v>11.299899999999999</v>
      </c>
      <c r="N175" s="11" t="e">
        <f>VLOOKUP(B175,$B$11:B174,1,FALSE)</f>
        <v>#N/A</v>
      </c>
    </row>
    <row r="176" spans="1:14">
      <c r="A176" s="67"/>
      <c r="B176" s="122">
        <v>9255033</v>
      </c>
      <c r="C176" s="123" t="s">
        <v>284</v>
      </c>
      <c r="D176" s="124">
        <v>20</v>
      </c>
      <c r="E176" s="125"/>
      <c r="F176" s="126"/>
      <c r="G176" s="127">
        <v>11.299899999999999</v>
      </c>
      <c r="H176" s="128" t="str">
        <f t="shared" si="6"/>
        <v>CZK</v>
      </c>
      <c r="I176" s="129"/>
      <c r="J176" s="130" t="s">
        <v>27</v>
      </c>
      <c r="L176" s="75">
        <f>G176*(1-'FORM-I'!$V$22/100)</f>
        <v>11.299899999999999</v>
      </c>
      <c r="N176" s="11" t="e">
        <f>VLOOKUP(B176,$B$11:B175,1,FALSE)</f>
        <v>#N/A</v>
      </c>
    </row>
    <row r="177" spans="1:14">
      <c r="A177" s="67"/>
      <c r="B177" s="122">
        <v>9255034</v>
      </c>
      <c r="C177" s="123" t="s">
        <v>285</v>
      </c>
      <c r="D177" s="124">
        <v>20</v>
      </c>
      <c r="E177" s="125"/>
      <c r="F177" s="126"/>
      <c r="G177" s="127">
        <v>11.500500000000001</v>
      </c>
      <c r="H177" s="128" t="str">
        <f t="shared" si="6"/>
        <v>CZK</v>
      </c>
      <c r="I177" s="129"/>
      <c r="J177" s="130" t="s">
        <v>27</v>
      </c>
      <c r="L177" s="75">
        <f>G177*(1-'FORM-I'!$V$22/100)</f>
        <v>11.500500000000001</v>
      </c>
      <c r="N177" s="11" t="e">
        <f>VLOOKUP(B177,$B$11:B176,1,FALSE)</f>
        <v>#N/A</v>
      </c>
    </row>
    <row r="178" spans="1:14">
      <c r="A178" s="67"/>
      <c r="B178" s="122">
        <v>9255035</v>
      </c>
      <c r="C178" s="123" t="s">
        <v>286</v>
      </c>
      <c r="D178" s="124">
        <v>20</v>
      </c>
      <c r="E178" s="125"/>
      <c r="F178" s="126"/>
      <c r="G178" s="127">
        <v>11.500500000000001</v>
      </c>
      <c r="H178" s="128" t="str">
        <f t="shared" si="6"/>
        <v>CZK</v>
      </c>
      <c r="I178" s="129"/>
      <c r="J178" s="130" t="s">
        <v>27</v>
      </c>
      <c r="L178" s="75">
        <f>G178*(1-'FORM-I'!$V$22/100)</f>
        <v>11.500500000000001</v>
      </c>
      <c r="N178" s="11" t="e">
        <f>VLOOKUP(B178,$B$11:B177,1,FALSE)</f>
        <v>#N/A</v>
      </c>
    </row>
    <row r="179" spans="1:14">
      <c r="A179" s="67"/>
      <c r="B179" s="122">
        <v>9255036</v>
      </c>
      <c r="C179" s="123" t="s">
        <v>287</v>
      </c>
      <c r="D179" s="124">
        <v>20</v>
      </c>
      <c r="E179" s="125"/>
      <c r="F179" s="126"/>
      <c r="G179" s="127">
        <v>11.701000000000001</v>
      </c>
      <c r="H179" s="128" t="str">
        <f t="shared" si="6"/>
        <v>CZK</v>
      </c>
      <c r="I179" s="129"/>
      <c r="J179" s="130" t="s">
        <v>27</v>
      </c>
      <c r="L179" s="75">
        <f>G179*(1-'FORM-I'!$V$22/100)</f>
        <v>11.701000000000001</v>
      </c>
      <c r="N179" s="11" t="e">
        <f>VLOOKUP(B179,$B$11:B178,1,FALSE)</f>
        <v>#N/A</v>
      </c>
    </row>
    <row r="180" spans="1:14">
      <c r="A180" s="67"/>
      <c r="B180" s="122">
        <v>9255037</v>
      </c>
      <c r="C180" s="123" t="s">
        <v>288</v>
      </c>
      <c r="D180" s="124">
        <v>20</v>
      </c>
      <c r="E180" s="125"/>
      <c r="F180" s="126"/>
      <c r="G180" s="127">
        <v>11.701000000000001</v>
      </c>
      <c r="H180" s="128" t="str">
        <f t="shared" si="6"/>
        <v>CZK</v>
      </c>
      <c r="I180" s="129"/>
      <c r="J180" s="130" t="s">
        <v>27</v>
      </c>
      <c r="L180" s="75">
        <f>G180*(1-'FORM-I'!$V$22/100)</f>
        <v>11.701000000000001</v>
      </c>
      <c r="N180" s="11" t="e">
        <f>VLOOKUP(B180,$B$11:B179,1,FALSE)</f>
        <v>#N/A</v>
      </c>
    </row>
    <row r="181" spans="1:14">
      <c r="A181" s="67"/>
      <c r="B181" s="122">
        <v>9255038</v>
      </c>
      <c r="C181" s="123" t="s">
        <v>289</v>
      </c>
      <c r="D181" s="124">
        <v>20</v>
      </c>
      <c r="E181" s="125"/>
      <c r="F181" s="126"/>
      <c r="G181" s="127">
        <v>11.9015</v>
      </c>
      <c r="H181" s="128" t="str">
        <f t="shared" si="6"/>
        <v>CZK</v>
      </c>
      <c r="I181" s="129"/>
      <c r="J181" s="130" t="s">
        <v>27</v>
      </c>
      <c r="L181" s="75">
        <f>G181*(1-'FORM-I'!$V$22/100)</f>
        <v>11.9015</v>
      </c>
      <c r="N181" s="11" t="e">
        <f>VLOOKUP(B181,$B$11:B180,1,FALSE)</f>
        <v>#N/A</v>
      </c>
    </row>
    <row r="182" spans="1:14">
      <c r="A182" s="67"/>
      <c r="B182" s="122">
        <v>9255039</v>
      </c>
      <c r="C182" s="123" t="s">
        <v>290</v>
      </c>
      <c r="D182" s="124">
        <v>20</v>
      </c>
      <c r="E182" s="125"/>
      <c r="F182" s="126"/>
      <c r="G182" s="127">
        <v>11.9015</v>
      </c>
      <c r="H182" s="128" t="str">
        <f t="shared" si="6"/>
        <v>CZK</v>
      </c>
      <c r="I182" s="129"/>
      <c r="J182" s="130" t="s">
        <v>27</v>
      </c>
      <c r="L182" s="75">
        <f>G182*(1-'FORM-I'!$V$22/100)</f>
        <v>11.9015</v>
      </c>
      <c r="N182" s="11" t="e">
        <f>VLOOKUP(B182,$B$11:B181,1,FALSE)</f>
        <v>#N/A</v>
      </c>
    </row>
    <row r="183" spans="1:14">
      <c r="A183" s="67"/>
      <c r="B183" s="122">
        <v>9255040</v>
      </c>
      <c r="C183" s="123" t="s">
        <v>291</v>
      </c>
      <c r="D183" s="124">
        <v>20</v>
      </c>
      <c r="E183" s="125"/>
      <c r="F183" s="126"/>
      <c r="G183" s="127">
        <v>12.2041</v>
      </c>
      <c r="H183" s="128" t="str">
        <f t="shared" si="6"/>
        <v>CZK</v>
      </c>
      <c r="I183" s="129"/>
      <c r="J183" s="130" t="s">
        <v>27</v>
      </c>
      <c r="L183" s="75">
        <f>G183*(1-'FORM-I'!$V$22/100)</f>
        <v>12.2041</v>
      </c>
      <c r="N183" s="11" t="e">
        <f>VLOOKUP(B183,$B$11:B182,1,FALSE)</f>
        <v>#N/A</v>
      </c>
    </row>
    <row r="184" spans="1:14">
      <c r="A184" s="67"/>
      <c r="B184" s="165">
        <v>9255041</v>
      </c>
      <c r="C184" s="166" t="s">
        <v>292</v>
      </c>
      <c r="D184" s="167">
        <v>20</v>
      </c>
      <c r="E184" s="168"/>
      <c r="F184" s="169"/>
      <c r="G184" s="170">
        <v>12.2041</v>
      </c>
      <c r="H184" s="171" t="str">
        <f t="shared" si="6"/>
        <v>CZK</v>
      </c>
      <c r="I184" s="172"/>
      <c r="J184" s="173" t="s">
        <v>27</v>
      </c>
      <c r="L184" s="75">
        <f>G184*(1-'FORM-I'!$V$22/100)</f>
        <v>12.2041</v>
      </c>
      <c r="N184" s="11" t="e">
        <f>VLOOKUP(B184,$B$11:B183,1,FALSE)</f>
        <v>#N/A</v>
      </c>
    </row>
    <row r="185" spans="1:14">
      <c r="A185" s="102"/>
      <c r="B185" s="156">
        <v>9255108</v>
      </c>
      <c r="C185" s="157" t="s">
        <v>293</v>
      </c>
      <c r="D185" s="158">
        <v>20</v>
      </c>
      <c r="E185" s="159"/>
      <c r="F185" s="160"/>
      <c r="G185" s="161">
        <v>10.8985</v>
      </c>
      <c r="H185" s="162" t="str">
        <f t="shared" si="6"/>
        <v>CZK</v>
      </c>
      <c r="I185" s="163"/>
      <c r="J185" s="164" t="s">
        <v>27</v>
      </c>
      <c r="L185" s="75">
        <f>G185*(1-'FORM-I'!$V$22/100)</f>
        <v>10.8985</v>
      </c>
      <c r="N185" s="11" t="e">
        <f>VLOOKUP(B185,$B$11:B184,1,FALSE)</f>
        <v>#N/A</v>
      </c>
    </row>
    <row r="186" spans="1:14">
      <c r="A186" s="102"/>
      <c r="B186" s="122">
        <v>9255109</v>
      </c>
      <c r="C186" s="123" t="s">
        <v>294</v>
      </c>
      <c r="D186" s="124">
        <v>20</v>
      </c>
      <c r="E186" s="125"/>
      <c r="F186" s="126"/>
      <c r="G186" s="127">
        <v>10.8985</v>
      </c>
      <c r="H186" s="128" t="str">
        <f t="shared" si="6"/>
        <v>CZK</v>
      </c>
      <c r="I186" s="129"/>
      <c r="J186" s="130" t="s">
        <v>27</v>
      </c>
      <c r="L186" s="75">
        <f>G186*(1-'FORM-I'!$V$22/100)</f>
        <v>10.8985</v>
      </c>
      <c r="N186" s="11" t="e">
        <f>VLOOKUP(B186,$B$11:B185,1,FALSE)</f>
        <v>#N/A</v>
      </c>
    </row>
    <row r="187" spans="1:14">
      <c r="A187" s="102"/>
      <c r="B187" s="122">
        <v>9255110</v>
      </c>
      <c r="C187" s="123" t="s">
        <v>295</v>
      </c>
      <c r="D187" s="124">
        <v>20</v>
      </c>
      <c r="E187" s="125"/>
      <c r="F187" s="126"/>
      <c r="G187" s="127">
        <v>11.0992</v>
      </c>
      <c r="H187" s="128" t="str">
        <f t="shared" si="6"/>
        <v>CZK</v>
      </c>
      <c r="I187" s="129"/>
      <c r="J187" s="130" t="s">
        <v>27</v>
      </c>
      <c r="L187" s="75">
        <f>G187*(1-'FORM-I'!$V$22/100)</f>
        <v>11.0992</v>
      </c>
      <c r="N187" s="11" t="e">
        <f>VLOOKUP(B187,$B$11:B186,1,FALSE)</f>
        <v>#N/A</v>
      </c>
    </row>
    <row r="188" spans="1:14">
      <c r="A188" s="102"/>
      <c r="B188" s="122">
        <v>9255111</v>
      </c>
      <c r="C188" s="123" t="s">
        <v>296</v>
      </c>
      <c r="D188" s="124">
        <v>20</v>
      </c>
      <c r="E188" s="125"/>
      <c r="F188" s="126"/>
      <c r="G188" s="127">
        <v>11.0992</v>
      </c>
      <c r="H188" s="128" t="str">
        <f t="shared" si="6"/>
        <v>CZK</v>
      </c>
      <c r="I188" s="129"/>
      <c r="J188" s="130" t="s">
        <v>27</v>
      </c>
      <c r="L188" s="75">
        <f>G188*(1-'FORM-I'!$V$22/100)</f>
        <v>11.0992</v>
      </c>
      <c r="N188" s="11" t="e">
        <f>VLOOKUP(B188,$B$11:B187,1,FALSE)</f>
        <v>#N/A</v>
      </c>
    </row>
    <row r="189" spans="1:14">
      <c r="A189" s="102"/>
      <c r="B189" s="122">
        <v>9255112</v>
      </c>
      <c r="C189" s="123" t="s">
        <v>297</v>
      </c>
      <c r="D189" s="124">
        <v>20</v>
      </c>
      <c r="E189" s="125"/>
      <c r="F189" s="126"/>
      <c r="G189" s="127">
        <v>11.299899999999999</v>
      </c>
      <c r="H189" s="128" t="str">
        <f t="shared" si="6"/>
        <v>CZK</v>
      </c>
      <c r="I189" s="129"/>
      <c r="J189" s="130" t="s">
        <v>27</v>
      </c>
      <c r="L189" s="75">
        <f>G189*(1-'FORM-I'!$V$22/100)</f>
        <v>11.299899999999999</v>
      </c>
      <c r="N189" s="11" t="e">
        <f>VLOOKUP(B189,$B$11:B188,1,FALSE)</f>
        <v>#N/A</v>
      </c>
    </row>
    <row r="190" spans="1:14">
      <c r="A190" s="102"/>
      <c r="B190" s="122">
        <v>9255113</v>
      </c>
      <c r="C190" s="123" t="s">
        <v>298</v>
      </c>
      <c r="D190" s="124">
        <v>20</v>
      </c>
      <c r="E190" s="125"/>
      <c r="F190" s="126"/>
      <c r="G190" s="127">
        <v>11.299899999999999</v>
      </c>
      <c r="H190" s="128" t="str">
        <f t="shared" si="6"/>
        <v>CZK</v>
      </c>
      <c r="I190" s="129"/>
      <c r="J190" s="130" t="s">
        <v>27</v>
      </c>
      <c r="L190" s="75">
        <f>G190*(1-'FORM-I'!$V$22/100)</f>
        <v>11.299899999999999</v>
      </c>
      <c r="N190" s="11" t="e">
        <f>VLOOKUP(B190,$B$11:B189,1,FALSE)</f>
        <v>#N/A</v>
      </c>
    </row>
    <row r="191" spans="1:14">
      <c r="A191" s="102"/>
      <c r="B191" s="122">
        <v>9255114</v>
      </c>
      <c r="C191" s="123" t="s">
        <v>299</v>
      </c>
      <c r="D191" s="124">
        <v>20</v>
      </c>
      <c r="E191" s="125"/>
      <c r="F191" s="126"/>
      <c r="G191" s="127">
        <v>11.500500000000001</v>
      </c>
      <c r="H191" s="128" t="str">
        <f>IF(G191="","",$H$10)</f>
        <v>CZK</v>
      </c>
      <c r="I191" s="129"/>
      <c r="J191" s="130" t="s">
        <v>27</v>
      </c>
      <c r="L191" s="75">
        <f>G191*(1-'FORM-I'!$V$22/100)</f>
        <v>11.500500000000001</v>
      </c>
      <c r="N191" s="11" t="e">
        <f>VLOOKUP(B191,$B$11:B190,1,FALSE)</f>
        <v>#N/A</v>
      </c>
    </row>
    <row r="192" spans="1:14">
      <c r="A192" s="102"/>
      <c r="B192" s="122">
        <v>9255115</v>
      </c>
      <c r="C192" s="123" t="s">
        <v>300</v>
      </c>
      <c r="D192" s="124">
        <v>20</v>
      </c>
      <c r="E192" s="125"/>
      <c r="F192" s="126"/>
      <c r="G192" s="127">
        <v>11.500500000000001</v>
      </c>
      <c r="H192" s="128" t="str">
        <f>IF(G192="","",$H$10)</f>
        <v>CZK</v>
      </c>
      <c r="I192" s="129"/>
      <c r="J192" s="130" t="s">
        <v>27</v>
      </c>
      <c r="L192" s="75">
        <f>G192*(1-'FORM-I'!$V$22/100)</f>
        <v>11.500500000000001</v>
      </c>
      <c r="N192" s="11" t="e">
        <f>VLOOKUP(B192,$B$11:B191,1,FALSE)</f>
        <v>#N/A</v>
      </c>
    </row>
    <row r="193" spans="1:14">
      <c r="A193" s="102"/>
      <c r="B193" s="122">
        <v>9255116</v>
      </c>
      <c r="C193" s="123" t="s">
        <v>301</v>
      </c>
      <c r="D193" s="124">
        <v>20</v>
      </c>
      <c r="E193" s="125"/>
      <c r="F193" s="126"/>
      <c r="G193" s="127">
        <v>11.701000000000001</v>
      </c>
      <c r="H193" s="128" t="str">
        <f>IF(G193="","",$H$10)</f>
        <v>CZK</v>
      </c>
      <c r="I193" s="129"/>
      <c r="J193" s="130" t="s">
        <v>27</v>
      </c>
      <c r="L193" s="75">
        <f>G193*(1-'FORM-I'!$V$22/100)</f>
        <v>11.701000000000001</v>
      </c>
      <c r="N193" s="11" t="e">
        <f>VLOOKUP(B193,$B$11:B192,1,FALSE)</f>
        <v>#N/A</v>
      </c>
    </row>
    <row r="194" spans="1:14">
      <c r="A194" s="102"/>
      <c r="B194" s="122">
        <v>9255117</v>
      </c>
      <c r="C194" s="123" t="s">
        <v>302</v>
      </c>
      <c r="D194" s="124">
        <v>20</v>
      </c>
      <c r="E194" s="125"/>
      <c r="F194" s="126"/>
      <c r="G194" s="127">
        <v>11.701000000000001</v>
      </c>
      <c r="H194" s="128" t="str">
        <f>IF(G194="","",$H$10)</f>
        <v>CZK</v>
      </c>
      <c r="I194" s="129"/>
      <c r="J194" s="130" t="s">
        <v>27</v>
      </c>
      <c r="L194" s="75">
        <f>G194*(1-'FORM-I'!$V$22/100)</f>
        <v>11.701000000000001</v>
      </c>
      <c r="N194" s="11" t="e">
        <f>VLOOKUP(B194,$B$11:B193,1,FALSE)</f>
        <v>#N/A</v>
      </c>
    </row>
    <row r="195" spans="1:14">
      <c r="A195" s="102"/>
      <c r="B195" s="122">
        <v>9255118</v>
      </c>
      <c r="C195" s="123" t="s">
        <v>303</v>
      </c>
      <c r="D195" s="124">
        <v>20</v>
      </c>
      <c r="E195" s="125"/>
      <c r="F195" s="126"/>
      <c r="G195" s="127">
        <v>11.9015</v>
      </c>
      <c r="H195" s="128" t="str">
        <f t="shared" ref="H195:H214" si="7">IF(G195="","",$H$10)</f>
        <v>CZK</v>
      </c>
      <c r="I195" s="129"/>
      <c r="J195" s="130" t="s">
        <v>27</v>
      </c>
      <c r="L195" s="75">
        <f>G195*(1-'FORM-I'!$V$22/100)</f>
        <v>11.9015</v>
      </c>
      <c r="N195" s="11" t="e">
        <f>VLOOKUP(B195,$B$11:B194,1,FALSE)</f>
        <v>#N/A</v>
      </c>
    </row>
    <row r="196" spans="1:14">
      <c r="A196" s="102"/>
      <c r="B196" s="122">
        <v>9255119</v>
      </c>
      <c r="C196" s="123" t="s">
        <v>304</v>
      </c>
      <c r="D196" s="124">
        <v>20</v>
      </c>
      <c r="E196" s="125"/>
      <c r="F196" s="126"/>
      <c r="G196" s="127">
        <v>11.9015</v>
      </c>
      <c r="H196" s="128" t="str">
        <f t="shared" si="7"/>
        <v>CZK</v>
      </c>
      <c r="I196" s="129"/>
      <c r="J196" s="130" t="s">
        <v>27</v>
      </c>
      <c r="L196" s="75">
        <f>G196*(1-'FORM-I'!$V$22/100)</f>
        <v>11.9015</v>
      </c>
      <c r="N196" s="11" t="e">
        <f>VLOOKUP(B196,$B$11:B195,1,FALSE)</f>
        <v>#N/A</v>
      </c>
    </row>
    <row r="197" spans="1:14">
      <c r="A197" s="102"/>
      <c r="B197" s="122">
        <v>9255120</v>
      </c>
      <c r="C197" s="123" t="s">
        <v>305</v>
      </c>
      <c r="D197" s="124">
        <v>20</v>
      </c>
      <c r="E197" s="125"/>
      <c r="F197" s="126"/>
      <c r="G197" s="127">
        <v>12.2041</v>
      </c>
      <c r="H197" s="128" t="str">
        <f t="shared" si="7"/>
        <v>CZK</v>
      </c>
      <c r="I197" s="129"/>
      <c r="J197" s="130" t="s">
        <v>27</v>
      </c>
      <c r="L197" s="75">
        <f>G197*(1-'FORM-I'!$V$22/100)</f>
        <v>12.2041</v>
      </c>
      <c r="N197" s="11" t="e">
        <f>VLOOKUP(B197,$B$11:B196,1,FALSE)</f>
        <v>#N/A</v>
      </c>
    </row>
    <row r="198" spans="1:14">
      <c r="A198" s="102"/>
      <c r="B198" s="165">
        <v>9255121</v>
      </c>
      <c r="C198" s="166" t="s">
        <v>306</v>
      </c>
      <c r="D198" s="167">
        <v>20</v>
      </c>
      <c r="E198" s="168"/>
      <c r="F198" s="169"/>
      <c r="G198" s="170">
        <v>12.2041</v>
      </c>
      <c r="H198" s="171" t="str">
        <f t="shared" si="7"/>
        <v>CZK</v>
      </c>
      <c r="I198" s="172"/>
      <c r="J198" s="173" t="s">
        <v>27</v>
      </c>
      <c r="L198" s="75">
        <f>G198*(1-'FORM-I'!$V$22/100)</f>
        <v>12.2041</v>
      </c>
      <c r="N198" s="11" t="e">
        <f>VLOOKUP(B198,$B$11:B197,1,FALSE)</f>
        <v>#N/A</v>
      </c>
    </row>
    <row r="199" spans="1:14">
      <c r="A199" s="112"/>
      <c r="B199" s="156">
        <v>9255188</v>
      </c>
      <c r="C199" s="157" t="s">
        <v>307</v>
      </c>
      <c r="D199" s="158">
        <v>20</v>
      </c>
      <c r="E199" s="159"/>
      <c r="F199" s="160"/>
      <c r="G199" s="161">
        <v>10.8985</v>
      </c>
      <c r="H199" s="162" t="str">
        <f t="shared" si="7"/>
        <v>CZK</v>
      </c>
      <c r="I199" s="163"/>
      <c r="J199" s="164" t="s">
        <v>27</v>
      </c>
      <c r="L199" s="75">
        <f>G199*(1-'FORM-I'!$V$22/100)</f>
        <v>10.8985</v>
      </c>
      <c r="N199" s="11" t="e">
        <f>VLOOKUP(B199,$B$11:B198,1,FALSE)</f>
        <v>#N/A</v>
      </c>
    </row>
    <row r="200" spans="1:14">
      <c r="A200" s="112"/>
      <c r="B200" s="122">
        <v>9255189</v>
      </c>
      <c r="C200" s="123" t="s">
        <v>308</v>
      </c>
      <c r="D200" s="124">
        <v>20</v>
      </c>
      <c r="E200" s="125"/>
      <c r="F200" s="126"/>
      <c r="G200" s="127">
        <v>10.8985</v>
      </c>
      <c r="H200" s="128" t="str">
        <f t="shared" si="7"/>
        <v>CZK</v>
      </c>
      <c r="I200" s="129"/>
      <c r="J200" s="130" t="s">
        <v>27</v>
      </c>
      <c r="L200" s="75">
        <f>G200*(1-'FORM-I'!$V$22/100)</f>
        <v>10.8985</v>
      </c>
      <c r="N200" s="11" t="e">
        <f>VLOOKUP(B200,$B$11:B199,1,FALSE)</f>
        <v>#N/A</v>
      </c>
    </row>
    <row r="201" spans="1:14">
      <c r="A201" s="112"/>
      <c r="B201" s="122">
        <v>9255190</v>
      </c>
      <c r="C201" s="123" t="s">
        <v>309</v>
      </c>
      <c r="D201" s="124">
        <v>20</v>
      </c>
      <c r="E201" s="125"/>
      <c r="F201" s="126"/>
      <c r="G201" s="127">
        <v>11.0992</v>
      </c>
      <c r="H201" s="128" t="str">
        <f t="shared" si="7"/>
        <v>CZK</v>
      </c>
      <c r="I201" s="129"/>
      <c r="J201" s="130" t="s">
        <v>27</v>
      </c>
      <c r="L201" s="75">
        <f>G201*(1-'FORM-I'!$V$22/100)</f>
        <v>11.0992</v>
      </c>
      <c r="N201" s="11" t="e">
        <f>VLOOKUP(B201,$B$11:B200,1,FALSE)</f>
        <v>#N/A</v>
      </c>
    </row>
    <row r="202" spans="1:14">
      <c r="A202" s="112"/>
      <c r="B202" s="122">
        <v>9255191</v>
      </c>
      <c r="C202" s="123" t="s">
        <v>310</v>
      </c>
      <c r="D202" s="124">
        <v>20</v>
      </c>
      <c r="E202" s="125"/>
      <c r="F202" s="126"/>
      <c r="G202" s="127">
        <v>11.0992</v>
      </c>
      <c r="H202" s="128" t="str">
        <f t="shared" si="7"/>
        <v>CZK</v>
      </c>
      <c r="I202" s="129"/>
      <c r="J202" s="130" t="s">
        <v>27</v>
      </c>
      <c r="L202" s="75">
        <f>G202*(1-'FORM-I'!$V$22/100)</f>
        <v>11.0992</v>
      </c>
      <c r="N202" s="11" t="e">
        <f>VLOOKUP(B202,$B$11:B201,1,FALSE)</f>
        <v>#N/A</v>
      </c>
    </row>
    <row r="203" spans="1:14">
      <c r="A203" s="112"/>
      <c r="B203" s="122">
        <v>9255192</v>
      </c>
      <c r="C203" s="123" t="s">
        <v>311</v>
      </c>
      <c r="D203" s="124">
        <v>20</v>
      </c>
      <c r="E203" s="125"/>
      <c r="F203" s="126"/>
      <c r="G203" s="127">
        <v>11.299899999999999</v>
      </c>
      <c r="H203" s="128" t="str">
        <f t="shared" si="7"/>
        <v>CZK</v>
      </c>
      <c r="I203" s="129"/>
      <c r="J203" s="130" t="s">
        <v>27</v>
      </c>
      <c r="L203" s="75">
        <f>G203*(1-'FORM-I'!$V$22/100)</f>
        <v>11.299899999999999</v>
      </c>
      <c r="N203" s="11" t="e">
        <f>VLOOKUP(B203,$B$11:B202,1,FALSE)</f>
        <v>#N/A</v>
      </c>
    </row>
    <row r="204" spans="1:14">
      <c r="A204" s="112"/>
      <c r="B204" s="122">
        <v>9255193</v>
      </c>
      <c r="C204" s="123" t="s">
        <v>312</v>
      </c>
      <c r="D204" s="124">
        <v>20</v>
      </c>
      <c r="E204" s="125"/>
      <c r="F204" s="126"/>
      <c r="G204" s="127">
        <v>11.299899999999999</v>
      </c>
      <c r="H204" s="128" t="str">
        <f t="shared" si="7"/>
        <v>CZK</v>
      </c>
      <c r="I204" s="129"/>
      <c r="J204" s="130" t="s">
        <v>27</v>
      </c>
      <c r="L204" s="75">
        <f>G204*(1-'FORM-I'!$V$22/100)</f>
        <v>11.299899999999999</v>
      </c>
      <c r="N204" s="11" t="e">
        <f>VLOOKUP(B204,$B$11:B203,1,FALSE)</f>
        <v>#N/A</v>
      </c>
    </row>
    <row r="205" spans="1:14">
      <c r="A205" s="112"/>
      <c r="B205" s="122">
        <v>9255194</v>
      </c>
      <c r="C205" s="123" t="s">
        <v>313</v>
      </c>
      <c r="D205" s="124">
        <v>20</v>
      </c>
      <c r="E205" s="125"/>
      <c r="F205" s="126"/>
      <c r="G205" s="127">
        <v>11.500500000000001</v>
      </c>
      <c r="H205" s="128" t="str">
        <f t="shared" si="7"/>
        <v>CZK</v>
      </c>
      <c r="I205" s="129"/>
      <c r="J205" s="130" t="s">
        <v>27</v>
      </c>
      <c r="L205" s="75">
        <f>G205*(1-'FORM-I'!$V$22/100)</f>
        <v>11.500500000000001</v>
      </c>
      <c r="N205" s="11" t="e">
        <f>VLOOKUP(B205,$B$11:B204,1,FALSE)</f>
        <v>#N/A</v>
      </c>
    </row>
    <row r="206" spans="1:14">
      <c r="A206" s="112"/>
      <c r="B206" s="122">
        <v>9255195</v>
      </c>
      <c r="C206" s="123" t="s">
        <v>314</v>
      </c>
      <c r="D206" s="124">
        <v>20</v>
      </c>
      <c r="E206" s="125"/>
      <c r="F206" s="126"/>
      <c r="G206" s="127">
        <v>11.500500000000001</v>
      </c>
      <c r="H206" s="128" t="str">
        <f t="shared" si="7"/>
        <v>CZK</v>
      </c>
      <c r="I206" s="129"/>
      <c r="J206" s="130" t="s">
        <v>27</v>
      </c>
      <c r="L206" s="75">
        <f>G206*(1-'FORM-I'!$V$22/100)</f>
        <v>11.500500000000001</v>
      </c>
      <c r="N206" s="11" t="e">
        <f>VLOOKUP(B206,$B$11:B205,1,FALSE)</f>
        <v>#N/A</v>
      </c>
    </row>
    <row r="207" spans="1:14">
      <c r="A207" s="112"/>
      <c r="B207" s="122">
        <v>9255196</v>
      </c>
      <c r="C207" s="123" t="s">
        <v>315</v>
      </c>
      <c r="D207" s="124">
        <v>20</v>
      </c>
      <c r="E207" s="125"/>
      <c r="F207" s="126"/>
      <c r="G207" s="127">
        <v>11.701000000000001</v>
      </c>
      <c r="H207" s="128" t="str">
        <f t="shared" si="7"/>
        <v>CZK</v>
      </c>
      <c r="I207" s="129"/>
      <c r="J207" s="130" t="s">
        <v>27</v>
      </c>
      <c r="L207" s="75">
        <f>G207*(1-'FORM-I'!$V$22/100)</f>
        <v>11.701000000000001</v>
      </c>
      <c r="N207" s="11" t="e">
        <f>VLOOKUP(B207,$B$11:B206,1,FALSE)</f>
        <v>#N/A</v>
      </c>
    </row>
    <row r="208" spans="1:14">
      <c r="A208" s="112"/>
      <c r="B208" s="122">
        <v>9255197</v>
      </c>
      <c r="C208" s="123" t="s">
        <v>316</v>
      </c>
      <c r="D208" s="124">
        <v>20</v>
      </c>
      <c r="E208" s="125"/>
      <c r="F208" s="126"/>
      <c r="G208" s="127">
        <v>11.701000000000001</v>
      </c>
      <c r="H208" s="128" t="str">
        <f t="shared" si="7"/>
        <v>CZK</v>
      </c>
      <c r="I208" s="129"/>
      <c r="J208" s="130" t="s">
        <v>27</v>
      </c>
      <c r="L208" s="75">
        <f>G208*(1-'FORM-I'!$V$22/100)</f>
        <v>11.701000000000001</v>
      </c>
      <c r="N208" s="11" t="e">
        <f>VLOOKUP(B208,$B$11:B207,1,FALSE)</f>
        <v>#N/A</v>
      </c>
    </row>
    <row r="209" spans="1:14">
      <c r="A209" s="112"/>
      <c r="B209" s="122">
        <v>9255198</v>
      </c>
      <c r="C209" s="123" t="s">
        <v>317</v>
      </c>
      <c r="D209" s="124">
        <v>20</v>
      </c>
      <c r="E209" s="125"/>
      <c r="F209" s="126"/>
      <c r="G209" s="127">
        <v>11.9015</v>
      </c>
      <c r="H209" s="128" t="str">
        <f t="shared" si="7"/>
        <v>CZK</v>
      </c>
      <c r="I209" s="129"/>
      <c r="J209" s="130" t="s">
        <v>27</v>
      </c>
      <c r="L209" s="75">
        <f>G209*(1-'FORM-I'!$V$22/100)</f>
        <v>11.9015</v>
      </c>
      <c r="N209" s="11" t="e">
        <f>VLOOKUP(B209,$B$11:B208,1,FALSE)</f>
        <v>#N/A</v>
      </c>
    </row>
    <row r="210" spans="1:14">
      <c r="A210" s="112"/>
      <c r="B210" s="122">
        <v>9255199</v>
      </c>
      <c r="C210" s="123" t="s">
        <v>318</v>
      </c>
      <c r="D210" s="124">
        <v>20</v>
      </c>
      <c r="E210" s="125"/>
      <c r="F210" s="126"/>
      <c r="G210" s="127">
        <v>11.9015</v>
      </c>
      <c r="H210" s="128" t="str">
        <f t="shared" si="7"/>
        <v>CZK</v>
      </c>
      <c r="I210" s="129"/>
      <c r="J210" s="130" t="s">
        <v>27</v>
      </c>
      <c r="L210" s="75">
        <f>G210*(1-'FORM-I'!$V$22/100)</f>
        <v>11.9015</v>
      </c>
      <c r="N210" s="11" t="e">
        <f>VLOOKUP(B210,$B$11:B209,1,FALSE)</f>
        <v>#N/A</v>
      </c>
    </row>
    <row r="211" spans="1:14">
      <c r="A211" s="112"/>
      <c r="B211" s="122">
        <v>9255200</v>
      </c>
      <c r="C211" s="123" t="s">
        <v>319</v>
      </c>
      <c r="D211" s="124">
        <v>20</v>
      </c>
      <c r="E211" s="125"/>
      <c r="F211" s="126"/>
      <c r="G211" s="127">
        <v>12.2041</v>
      </c>
      <c r="H211" s="128" t="str">
        <f t="shared" si="7"/>
        <v>CZK</v>
      </c>
      <c r="I211" s="129"/>
      <c r="J211" s="130" t="s">
        <v>27</v>
      </c>
      <c r="L211" s="75">
        <f>G211*(1-'FORM-I'!$V$22/100)</f>
        <v>12.2041</v>
      </c>
      <c r="N211" s="11" t="e">
        <f>VLOOKUP(B211,$B$11:B210,1,FALSE)</f>
        <v>#N/A</v>
      </c>
    </row>
    <row r="212" spans="1:14">
      <c r="A212" s="112"/>
      <c r="B212" s="165">
        <v>9255201</v>
      </c>
      <c r="C212" s="166" t="s">
        <v>320</v>
      </c>
      <c r="D212" s="167">
        <v>20</v>
      </c>
      <c r="E212" s="168"/>
      <c r="F212" s="169"/>
      <c r="G212" s="170">
        <v>12.2041</v>
      </c>
      <c r="H212" s="171" t="str">
        <f t="shared" si="7"/>
        <v>CZK</v>
      </c>
      <c r="I212" s="172"/>
      <c r="J212" s="173" t="s">
        <v>27</v>
      </c>
      <c r="L212" s="75">
        <f>G212*(1-'FORM-I'!$V$22/100)</f>
        <v>12.2041</v>
      </c>
      <c r="N212" s="11" t="e">
        <f>VLOOKUP(B212,$B$11:B211,1,FALSE)</f>
        <v>#N/A</v>
      </c>
    </row>
    <row r="213" spans="1:14">
      <c r="B213" s="156">
        <v>9257884</v>
      </c>
      <c r="C213" s="157" t="s">
        <v>321</v>
      </c>
      <c r="D213" s="158">
        <v>200</v>
      </c>
      <c r="E213" s="159"/>
      <c r="F213" s="160"/>
      <c r="G213" s="161">
        <v>1.6854</v>
      </c>
      <c r="H213" s="162" t="str">
        <f t="shared" si="7"/>
        <v>CZK</v>
      </c>
      <c r="I213" s="163"/>
      <c r="J213" s="164" t="s">
        <v>27</v>
      </c>
      <c r="L213" s="75">
        <f>G213*(1-'FORM-I'!$V$22/100)</f>
        <v>1.6854</v>
      </c>
      <c r="N213" s="11" t="e">
        <f>VLOOKUP(B213,$B$11:B212,1,FALSE)</f>
        <v>#N/A</v>
      </c>
    </row>
    <row r="214" spans="1:14">
      <c r="B214" s="165">
        <v>9257885</v>
      </c>
      <c r="C214" s="166" t="s">
        <v>322</v>
      </c>
      <c r="D214" s="167">
        <v>200</v>
      </c>
      <c r="E214" s="168"/>
      <c r="F214" s="169"/>
      <c r="G214" s="170">
        <v>1.7168000000000001</v>
      </c>
      <c r="H214" s="171" t="str">
        <f t="shared" si="7"/>
        <v>CZK</v>
      </c>
      <c r="I214" s="172"/>
      <c r="J214" s="173" t="s">
        <v>27</v>
      </c>
      <c r="L214" s="75">
        <f>G214*(1-'FORM-I'!$V$22/100)</f>
        <v>1.7168000000000001</v>
      </c>
      <c r="N214" s="11" t="e">
        <f>VLOOKUP(B214,$B$11:B213,1,FALSE)</f>
        <v>#N/A</v>
      </c>
    </row>
    <row r="215" spans="1:14">
      <c r="B215" s="165"/>
      <c r="C215" s="166"/>
      <c r="D215" s="167"/>
      <c r="E215" s="168"/>
      <c r="F215" s="169"/>
      <c r="G215" s="170"/>
      <c r="H215" s="171"/>
      <c r="I215" s="172"/>
      <c r="J215" s="173"/>
      <c r="L215" s="75">
        <f>G215*(1-'FORM-I'!$V$22/100)</f>
        <v>0</v>
      </c>
      <c r="N215" s="11" t="e">
        <f>VLOOKUP(B215,$B$11:B214,1,FALSE)</f>
        <v>#N/A</v>
      </c>
    </row>
    <row r="216" spans="1:14">
      <c r="A216" s="67"/>
      <c r="B216" s="156">
        <v>9255262</v>
      </c>
      <c r="C216" s="157" t="s">
        <v>323</v>
      </c>
      <c r="D216" s="158">
        <v>1</v>
      </c>
      <c r="E216" s="159"/>
      <c r="F216" s="160"/>
      <c r="G216" s="161">
        <v>40.299999999999997</v>
      </c>
      <c r="H216" s="162" t="str">
        <f t="shared" ref="H216:H218" si="8">IF(G216="","",$H$10)</f>
        <v>CZK</v>
      </c>
      <c r="I216" s="163"/>
      <c r="J216" s="164" t="s">
        <v>27</v>
      </c>
      <c r="L216" s="75">
        <f>G216*(1-'FORM-I'!$V$22/100)</f>
        <v>40.299999999999997</v>
      </c>
      <c r="N216" s="11" t="e">
        <f>VLOOKUP(B216,$B$11:B215,1,FALSE)</f>
        <v>#N/A</v>
      </c>
    </row>
    <row r="217" spans="1:14">
      <c r="A217" s="67"/>
      <c r="B217" s="122">
        <v>9255263</v>
      </c>
      <c r="C217" s="123" t="s">
        <v>324</v>
      </c>
      <c r="D217" s="124">
        <v>1</v>
      </c>
      <c r="E217" s="125"/>
      <c r="F217" s="126"/>
      <c r="G217" s="127">
        <v>40.622</v>
      </c>
      <c r="H217" s="128" t="str">
        <f t="shared" si="8"/>
        <v>CZK</v>
      </c>
      <c r="I217" s="129"/>
      <c r="J217" s="130" t="s">
        <v>27</v>
      </c>
      <c r="L217" s="75">
        <f>G217*(1-'FORM-I'!$V$22/100)</f>
        <v>40.622</v>
      </c>
      <c r="N217" s="11" t="e">
        <f>VLOOKUP(B217,$B$11:B216,1,FALSE)</f>
        <v>#N/A</v>
      </c>
    </row>
    <row r="218" spans="1:14">
      <c r="A218" s="67"/>
      <c r="B218" s="122">
        <v>9255264</v>
      </c>
      <c r="C218" s="123" t="s">
        <v>325</v>
      </c>
      <c r="D218" s="124">
        <v>1</v>
      </c>
      <c r="E218" s="125"/>
      <c r="F218" s="126"/>
      <c r="G218" s="127">
        <v>41.158299999999997</v>
      </c>
      <c r="H218" s="128" t="str">
        <f t="shared" si="8"/>
        <v>CZK</v>
      </c>
      <c r="I218" s="129"/>
      <c r="J218" s="130" t="s">
        <v>27</v>
      </c>
      <c r="L218" s="75">
        <f>G218*(1-'FORM-I'!$V$22/100)</f>
        <v>41.158299999999997</v>
      </c>
      <c r="N218" s="11" t="e">
        <f>VLOOKUP(B218,$B$11:B217,1,FALSE)</f>
        <v>#N/A</v>
      </c>
    </row>
    <row r="219" spans="1:14">
      <c r="A219" s="67"/>
      <c r="B219" s="122">
        <v>9255265</v>
      </c>
      <c r="C219" s="123" t="s">
        <v>326</v>
      </c>
      <c r="D219" s="124">
        <v>1</v>
      </c>
      <c r="E219" s="125"/>
      <c r="F219" s="126"/>
      <c r="G219" s="127">
        <v>41.694899999999997</v>
      </c>
      <c r="H219" s="128" t="str">
        <f>IF(G219="","",$H$10)</f>
        <v>CZK</v>
      </c>
      <c r="I219" s="129"/>
      <c r="J219" s="130" t="s">
        <v>27</v>
      </c>
      <c r="L219" s="75">
        <f>G219*(1-'FORM-I'!$V$22/100)</f>
        <v>41.694899999999997</v>
      </c>
      <c r="N219" s="11" t="e">
        <f>VLOOKUP(B219,$B$11:B218,1,FALSE)</f>
        <v>#N/A</v>
      </c>
    </row>
    <row r="220" spans="1:14">
      <c r="A220" s="67"/>
      <c r="B220" s="122">
        <v>9255266</v>
      </c>
      <c r="C220" s="123" t="s">
        <v>327</v>
      </c>
      <c r="D220" s="124">
        <v>1</v>
      </c>
      <c r="E220" s="125"/>
      <c r="F220" s="126"/>
      <c r="G220" s="127">
        <v>42.2316</v>
      </c>
      <c r="H220" s="128" t="str">
        <f>IF(G220="","",$H$10)</f>
        <v>CZK</v>
      </c>
      <c r="I220" s="129"/>
      <c r="J220" s="130" t="s">
        <v>27</v>
      </c>
      <c r="L220" s="75">
        <f>G220*(1-'FORM-I'!$V$22/100)</f>
        <v>42.2316</v>
      </c>
      <c r="N220" s="11" t="e">
        <f>VLOOKUP(B220,$B$11:B219,1,FALSE)</f>
        <v>#N/A</v>
      </c>
    </row>
    <row r="221" spans="1:14">
      <c r="A221" s="67"/>
      <c r="B221" s="122">
        <v>9255267</v>
      </c>
      <c r="C221" s="123" t="s">
        <v>328</v>
      </c>
      <c r="D221" s="124">
        <v>1</v>
      </c>
      <c r="E221" s="125"/>
      <c r="F221" s="126"/>
      <c r="G221" s="127">
        <v>42.7682</v>
      </c>
      <c r="H221" s="128" t="str">
        <f>IF(G221="","",$H$10)</f>
        <v>CZK</v>
      </c>
      <c r="I221" s="129"/>
      <c r="J221" s="130" t="s">
        <v>27</v>
      </c>
      <c r="L221" s="75">
        <f>G221*(1-'FORM-I'!$V$22/100)</f>
        <v>42.7682</v>
      </c>
      <c r="N221" s="11" t="e">
        <f>VLOOKUP(B221,$B$11:B220,1,FALSE)</f>
        <v>#N/A</v>
      </c>
    </row>
    <row r="222" spans="1:14">
      <c r="A222" s="67"/>
      <c r="B222" s="122">
        <v>9255268</v>
      </c>
      <c r="C222" s="123" t="s">
        <v>329</v>
      </c>
      <c r="D222" s="124">
        <v>1</v>
      </c>
      <c r="E222" s="125"/>
      <c r="F222" s="126"/>
      <c r="G222" s="127">
        <v>43.304499999999997</v>
      </c>
      <c r="H222" s="128" t="str">
        <f>IF(G222="","",$H$10)</f>
        <v>CZK</v>
      </c>
      <c r="I222" s="129"/>
      <c r="J222" s="130" t="s">
        <v>27</v>
      </c>
      <c r="L222" s="75">
        <f>G222*(1-'FORM-I'!$V$22/100)</f>
        <v>43.304499999999997</v>
      </c>
      <c r="N222" s="11" t="e">
        <f>VLOOKUP(B222,$B$11:B221,1,FALSE)</f>
        <v>#N/A</v>
      </c>
    </row>
    <row r="223" spans="1:14">
      <c r="A223" s="67"/>
      <c r="B223" s="122">
        <v>9255269</v>
      </c>
      <c r="C223" s="123" t="s">
        <v>330</v>
      </c>
      <c r="D223" s="124">
        <v>1</v>
      </c>
      <c r="E223" s="125"/>
      <c r="F223" s="126"/>
      <c r="G223" s="127">
        <v>44.114199999999997</v>
      </c>
      <c r="H223" s="128" t="str">
        <f>IF(G223="","",$H$10)</f>
        <v>CZK</v>
      </c>
      <c r="I223" s="129"/>
      <c r="J223" s="130" t="s">
        <v>27</v>
      </c>
      <c r="L223" s="75">
        <f>G223*(1-'FORM-I'!$V$22/100)</f>
        <v>44.114199999999997</v>
      </c>
      <c r="N223" s="11" t="e">
        <f>VLOOKUP(B223,$B$11:B222,1,FALSE)</f>
        <v>#N/A</v>
      </c>
    </row>
    <row r="224" spans="1:14">
      <c r="A224" s="67"/>
      <c r="B224" s="165">
        <v>9255270</v>
      </c>
      <c r="C224" s="166" t="s">
        <v>331</v>
      </c>
      <c r="D224" s="167">
        <v>1</v>
      </c>
      <c r="E224" s="168"/>
      <c r="F224" s="169"/>
      <c r="G224" s="170">
        <v>45.214500000000001</v>
      </c>
      <c r="H224" s="171" t="str">
        <f t="shared" ref="H224:H225" si="9">IF(G224="","",$H$10)</f>
        <v>CZK</v>
      </c>
      <c r="I224" s="172"/>
      <c r="J224" s="173" t="s">
        <v>27</v>
      </c>
      <c r="L224" s="75">
        <f>G224*(1-'FORM-I'!$V$22/100)</f>
        <v>45.214500000000001</v>
      </c>
      <c r="N224" s="11" t="e">
        <f>VLOOKUP(B224,$B$11:B223,1,FALSE)</f>
        <v>#N/A</v>
      </c>
    </row>
    <row r="225" spans="1:14">
      <c r="A225" s="102"/>
      <c r="B225" s="156">
        <v>9255302</v>
      </c>
      <c r="C225" s="157" t="s">
        <v>332</v>
      </c>
      <c r="D225" s="158">
        <v>1</v>
      </c>
      <c r="E225" s="159"/>
      <c r="F225" s="160"/>
      <c r="G225" s="161">
        <v>40.299999999999997</v>
      </c>
      <c r="H225" s="162" t="str">
        <f t="shared" si="9"/>
        <v>CZK</v>
      </c>
      <c r="I225" s="163"/>
      <c r="J225" s="164" t="s">
        <v>27</v>
      </c>
      <c r="L225" s="75">
        <f>G225*(1-'FORM-I'!$V$22/100)</f>
        <v>40.299999999999997</v>
      </c>
      <c r="N225" s="11" t="e">
        <f>VLOOKUP(B225,$B$11:B224,1,FALSE)</f>
        <v>#N/A</v>
      </c>
    </row>
    <row r="226" spans="1:14">
      <c r="A226" s="102"/>
      <c r="B226" s="122">
        <v>9255303</v>
      </c>
      <c r="C226" s="123" t="s">
        <v>333</v>
      </c>
      <c r="D226" s="124">
        <v>1</v>
      </c>
      <c r="E226" s="125"/>
      <c r="F226" s="126"/>
      <c r="G226" s="127">
        <v>40.622</v>
      </c>
      <c r="H226" s="128" t="str">
        <f>IF(G226="","",$H$10)</f>
        <v>CZK</v>
      </c>
      <c r="I226" s="129"/>
      <c r="J226" s="130" t="s">
        <v>27</v>
      </c>
      <c r="L226" s="75">
        <f>G226*(1-'FORM-I'!$V$22/100)</f>
        <v>40.622</v>
      </c>
      <c r="N226" s="11" t="e">
        <f>VLOOKUP(B226,$B$11:B225,1,FALSE)</f>
        <v>#N/A</v>
      </c>
    </row>
    <row r="227" spans="1:14">
      <c r="A227" s="102"/>
      <c r="B227" s="122">
        <v>9255304</v>
      </c>
      <c r="C227" s="123" t="s">
        <v>334</v>
      </c>
      <c r="D227" s="124">
        <v>1</v>
      </c>
      <c r="E227" s="125"/>
      <c r="F227" s="126"/>
      <c r="G227" s="127">
        <v>41.158299999999997</v>
      </c>
      <c r="H227" s="128" t="str">
        <f>IF(G227="","",$H$10)</f>
        <v>CZK</v>
      </c>
      <c r="I227" s="129"/>
      <c r="J227" s="130" t="s">
        <v>27</v>
      </c>
      <c r="L227" s="75">
        <f>G227*(1-'FORM-I'!$V$22/100)</f>
        <v>41.158299999999997</v>
      </c>
      <c r="N227" s="11" t="e">
        <f>VLOOKUP(B227,$B$11:B226,1,FALSE)</f>
        <v>#N/A</v>
      </c>
    </row>
    <row r="228" spans="1:14">
      <c r="A228" s="102"/>
      <c r="B228" s="122">
        <v>9255305</v>
      </c>
      <c r="C228" s="123" t="s">
        <v>335</v>
      </c>
      <c r="D228" s="124">
        <v>1</v>
      </c>
      <c r="E228" s="125"/>
      <c r="F228" s="126"/>
      <c r="G228" s="127">
        <v>41.694899999999997</v>
      </c>
      <c r="H228" s="128" t="str">
        <f>IF(G228="","",$H$10)</f>
        <v>CZK</v>
      </c>
      <c r="I228" s="129"/>
      <c r="J228" s="130" t="s">
        <v>27</v>
      </c>
      <c r="L228" s="75">
        <f>G228*(1-'FORM-I'!$V$22/100)</f>
        <v>41.694899999999997</v>
      </c>
      <c r="N228" s="11" t="e">
        <f>VLOOKUP(B228,$B$11:B227,1,FALSE)</f>
        <v>#N/A</v>
      </c>
    </row>
    <row r="229" spans="1:14">
      <c r="A229" s="102"/>
      <c r="B229" s="122">
        <v>9255306</v>
      </c>
      <c r="C229" s="123" t="s">
        <v>336</v>
      </c>
      <c r="D229" s="124">
        <v>1</v>
      </c>
      <c r="E229" s="125"/>
      <c r="F229" s="126"/>
      <c r="G229" s="127">
        <v>42.2316</v>
      </c>
      <c r="H229" s="128" t="str">
        <f t="shared" ref="H229:H292" si="10">IF(G229="","",$H$10)</f>
        <v>CZK</v>
      </c>
      <c r="I229" s="129"/>
      <c r="J229" s="130" t="s">
        <v>27</v>
      </c>
      <c r="L229" s="75">
        <f>G229*(1-'FORM-I'!$V$22/100)</f>
        <v>42.2316</v>
      </c>
      <c r="N229" s="11" t="e">
        <f>VLOOKUP(B229,$B$11:B228,1,FALSE)</f>
        <v>#N/A</v>
      </c>
    </row>
    <row r="230" spans="1:14">
      <c r="A230" s="102"/>
      <c r="B230" s="122">
        <v>9255307</v>
      </c>
      <c r="C230" s="123" t="s">
        <v>337</v>
      </c>
      <c r="D230" s="124">
        <v>1</v>
      </c>
      <c r="E230" s="125"/>
      <c r="F230" s="126"/>
      <c r="G230" s="127">
        <v>42.7682</v>
      </c>
      <c r="H230" s="128" t="str">
        <f t="shared" si="10"/>
        <v>CZK</v>
      </c>
      <c r="I230" s="129"/>
      <c r="J230" s="130" t="s">
        <v>27</v>
      </c>
      <c r="L230" s="75">
        <f>G230*(1-'FORM-I'!$V$22/100)</f>
        <v>42.7682</v>
      </c>
      <c r="N230" s="11" t="e">
        <f>VLOOKUP(B230,$B$11:B229,1,FALSE)</f>
        <v>#N/A</v>
      </c>
    </row>
    <row r="231" spans="1:14">
      <c r="A231" s="102"/>
      <c r="B231" s="122">
        <v>9255308</v>
      </c>
      <c r="C231" s="123" t="s">
        <v>338</v>
      </c>
      <c r="D231" s="124">
        <v>1</v>
      </c>
      <c r="E231" s="125"/>
      <c r="F231" s="126"/>
      <c r="G231" s="127">
        <v>43.304499999999997</v>
      </c>
      <c r="H231" s="128" t="str">
        <f t="shared" si="10"/>
        <v>CZK</v>
      </c>
      <c r="I231" s="129"/>
      <c r="J231" s="130" t="s">
        <v>27</v>
      </c>
      <c r="L231" s="75">
        <f>G231*(1-'FORM-I'!$V$22/100)</f>
        <v>43.304499999999997</v>
      </c>
      <c r="N231" s="11" t="e">
        <f>VLOOKUP(B231,$B$11:B230,1,FALSE)</f>
        <v>#N/A</v>
      </c>
    </row>
    <row r="232" spans="1:14">
      <c r="A232" s="102"/>
      <c r="B232" s="122">
        <v>9255309</v>
      </c>
      <c r="C232" s="123" t="s">
        <v>339</v>
      </c>
      <c r="D232" s="124">
        <v>1</v>
      </c>
      <c r="E232" s="125"/>
      <c r="F232" s="126"/>
      <c r="G232" s="127">
        <v>44.114199999999997</v>
      </c>
      <c r="H232" s="128" t="str">
        <f t="shared" si="10"/>
        <v>CZK</v>
      </c>
      <c r="I232" s="129"/>
      <c r="J232" s="130" t="s">
        <v>27</v>
      </c>
      <c r="L232" s="75">
        <f>G232*(1-'FORM-I'!$V$22/100)</f>
        <v>44.114199999999997</v>
      </c>
      <c r="N232" s="11" t="e">
        <f>VLOOKUP(B232,$B$11:B231,1,FALSE)</f>
        <v>#N/A</v>
      </c>
    </row>
    <row r="233" spans="1:14">
      <c r="A233" s="102"/>
      <c r="B233" s="165">
        <v>9255310</v>
      </c>
      <c r="C233" s="166" t="s">
        <v>340</v>
      </c>
      <c r="D233" s="167">
        <v>1</v>
      </c>
      <c r="E233" s="168"/>
      <c r="F233" s="169"/>
      <c r="G233" s="170">
        <v>45.214500000000001</v>
      </c>
      <c r="H233" s="171" t="str">
        <f t="shared" si="10"/>
        <v>CZK</v>
      </c>
      <c r="I233" s="172"/>
      <c r="J233" s="173" t="s">
        <v>27</v>
      </c>
      <c r="L233" s="75">
        <f>G233*(1-'FORM-I'!$V$22/100)</f>
        <v>45.214500000000001</v>
      </c>
      <c r="N233" s="11" t="e">
        <f>VLOOKUP(B233,$B$11:B232,1,FALSE)</f>
        <v>#N/A</v>
      </c>
    </row>
    <row r="234" spans="1:14">
      <c r="A234" s="112"/>
      <c r="B234" s="156">
        <v>9255342</v>
      </c>
      <c r="C234" s="157" t="s">
        <v>341</v>
      </c>
      <c r="D234" s="158">
        <v>1</v>
      </c>
      <c r="E234" s="159"/>
      <c r="F234" s="160"/>
      <c r="G234" s="161">
        <v>40.299999999999997</v>
      </c>
      <c r="H234" s="162" t="str">
        <f t="shared" si="10"/>
        <v>CZK</v>
      </c>
      <c r="I234" s="163"/>
      <c r="J234" s="164" t="s">
        <v>27</v>
      </c>
      <c r="L234" s="75">
        <f>G234*(1-'FORM-I'!$V$22/100)</f>
        <v>40.299999999999997</v>
      </c>
      <c r="N234" s="11" t="e">
        <f>VLOOKUP(B234,$B$11:B233,1,FALSE)</f>
        <v>#N/A</v>
      </c>
    </row>
    <row r="235" spans="1:14">
      <c r="A235" s="112"/>
      <c r="B235" s="122">
        <v>9255343</v>
      </c>
      <c r="C235" s="123" t="s">
        <v>342</v>
      </c>
      <c r="D235" s="124">
        <v>1</v>
      </c>
      <c r="E235" s="125"/>
      <c r="F235" s="126"/>
      <c r="G235" s="127">
        <v>40.622</v>
      </c>
      <c r="H235" s="128" t="str">
        <f t="shared" si="10"/>
        <v>CZK</v>
      </c>
      <c r="I235" s="129"/>
      <c r="J235" s="130" t="s">
        <v>27</v>
      </c>
      <c r="L235" s="75">
        <f>G235*(1-'FORM-I'!$V$22/100)</f>
        <v>40.622</v>
      </c>
      <c r="N235" s="11" t="e">
        <f>VLOOKUP(B235,$B$11:B234,1,FALSE)</f>
        <v>#N/A</v>
      </c>
    </row>
    <row r="236" spans="1:14">
      <c r="A236" s="112"/>
      <c r="B236" s="122">
        <v>9255344</v>
      </c>
      <c r="C236" s="123" t="s">
        <v>343</v>
      </c>
      <c r="D236" s="124">
        <v>1</v>
      </c>
      <c r="E236" s="125"/>
      <c r="F236" s="126"/>
      <c r="G236" s="127">
        <v>41.158299999999997</v>
      </c>
      <c r="H236" s="128" t="str">
        <f t="shared" si="10"/>
        <v>CZK</v>
      </c>
      <c r="I236" s="129"/>
      <c r="J236" s="130" t="s">
        <v>27</v>
      </c>
      <c r="L236" s="75">
        <f>G236*(1-'FORM-I'!$V$22/100)</f>
        <v>41.158299999999997</v>
      </c>
      <c r="N236" s="11" t="e">
        <f>VLOOKUP(B236,$B$11:B235,1,FALSE)</f>
        <v>#N/A</v>
      </c>
    </row>
    <row r="237" spans="1:14">
      <c r="A237" s="112"/>
      <c r="B237" s="122">
        <v>9255345</v>
      </c>
      <c r="C237" s="123" t="s">
        <v>344</v>
      </c>
      <c r="D237" s="124">
        <v>1</v>
      </c>
      <c r="E237" s="125"/>
      <c r="F237" s="126"/>
      <c r="G237" s="127">
        <v>41.694899999999997</v>
      </c>
      <c r="H237" s="128" t="str">
        <f t="shared" si="10"/>
        <v>CZK</v>
      </c>
      <c r="I237" s="129"/>
      <c r="J237" s="130" t="s">
        <v>27</v>
      </c>
      <c r="L237" s="75">
        <f>G237*(1-'FORM-I'!$V$22/100)</f>
        <v>41.694899999999997</v>
      </c>
      <c r="N237" s="11" t="e">
        <f>VLOOKUP(B237,$B$11:B236,1,FALSE)</f>
        <v>#N/A</v>
      </c>
    </row>
    <row r="238" spans="1:14">
      <c r="A238" s="112"/>
      <c r="B238" s="122">
        <v>9255346</v>
      </c>
      <c r="C238" s="123" t="s">
        <v>345</v>
      </c>
      <c r="D238" s="124">
        <v>1</v>
      </c>
      <c r="E238" s="125"/>
      <c r="F238" s="126"/>
      <c r="G238" s="127">
        <v>42.2316</v>
      </c>
      <c r="H238" s="128" t="str">
        <f t="shared" si="10"/>
        <v>CZK</v>
      </c>
      <c r="I238" s="129"/>
      <c r="J238" s="130" t="s">
        <v>27</v>
      </c>
      <c r="L238" s="75">
        <f>G238*(1-'FORM-I'!$V$22/100)</f>
        <v>42.2316</v>
      </c>
      <c r="N238" s="11" t="e">
        <f>VLOOKUP(B238,$B$11:B237,1,FALSE)</f>
        <v>#N/A</v>
      </c>
    </row>
    <row r="239" spans="1:14">
      <c r="A239" s="112"/>
      <c r="B239" s="122">
        <v>9255347</v>
      </c>
      <c r="C239" s="123" t="s">
        <v>346</v>
      </c>
      <c r="D239" s="124">
        <v>1</v>
      </c>
      <c r="E239" s="125"/>
      <c r="F239" s="126"/>
      <c r="G239" s="127">
        <v>42.7682</v>
      </c>
      <c r="H239" s="128" t="str">
        <f t="shared" si="10"/>
        <v>CZK</v>
      </c>
      <c r="I239" s="129"/>
      <c r="J239" s="130" t="s">
        <v>27</v>
      </c>
      <c r="L239" s="75">
        <f>G239*(1-'FORM-I'!$V$22/100)</f>
        <v>42.7682</v>
      </c>
      <c r="N239" s="11" t="e">
        <f>VLOOKUP(B239,$B$11:B238,1,FALSE)</f>
        <v>#N/A</v>
      </c>
    </row>
    <row r="240" spans="1:14">
      <c r="A240" s="112"/>
      <c r="B240" s="122">
        <v>9255348</v>
      </c>
      <c r="C240" s="123" t="s">
        <v>347</v>
      </c>
      <c r="D240" s="124">
        <v>1</v>
      </c>
      <c r="E240" s="125"/>
      <c r="F240" s="126"/>
      <c r="G240" s="127">
        <v>43.304499999999997</v>
      </c>
      <c r="H240" s="128" t="str">
        <f t="shared" si="10"/>
        <v>CZK</v>
      </c>
      <c r="I240" s="129"/>
      <c r="J240" s="130" t="s">
        <v>27</v>
      </c>
      <c r="L240" s="75">
        <f>G240*(1-'FORM-I'!$V$22/100)</f>
        <v>43.304499999999997</v>
      </c>
      <c r="N240" s="11" t="e">
        <f>VLOOKUP(B240,$B$11:B239,1,FALSE)</f>
        <v>#N/A</v>
      </c>
    </row>
    <row r="241" spans="1:14">
      <c r="A241" s="112"/>
      <c r="B241" s="122">
        <v>9255349</v>
      </c>
      <c r="C241" s="123" t="s">
        <v>348</v>
      </c>
      <c r="D241" s="124">
        <v>1</v>
      </c>
      <c r="E241" s="125"/>
      <c r="F241" s="126"/>
      <c r="G241" s="127">
        <v>44.114199999999997</v>
      </c>
      <c r="H241" s="128" t="str">
        <f t="shared" si="10"/>
        <v>CZK</v>
      </c>
      <c r="I241" s="129"/>
      <c r="J241" s="130" t="s">
        <v>27</v>
      </c>
      <c r="L241" s="75">
        <f>G241*(1-'FORM-I'!$V$22/100)</f>
        <v>44.114199999999997</v>
      </c>
      <c r="N241" s="11" t="e">
        <f>VLOOKUP(B241,$B$11:B240,1,FALSE)</f>
        <v>#N/A</v>
      </c>
    </row>
    <row r="242" spans="1:14">
      <c r="A242" s="112"/>
      <c r="B242" s="165">
        <v>9255350</v>
      </c>
      <c r="C242" s="166" t="s">
        <v>349</v>
      </c>
      <c r="D242" s="167">
        <v>1</v>
      </c>
      <c r="E242" s="168"/>
      <c r="F242" s="169"/>
      <c r="G242" s="170">
        <v>45.214500000000001</v>
      </c>
      <c r="H242" s="171" t="str">
        <f t="shared" si="10"/>
        <v>CZK</v>
      </c>
      <c r="I242" s="172"/>
      <c r="J242" s="173" t="s">
        <v>27</v>
      </c>
      <c r="L242" s="75">
        <f>G242*(1-'FORM-I'!$V$22/100)</f>
        <v>45.214500000000001</v>
      </c>
      <c r="N242" s="11" t="e">
        <f>VLOOKUP(B242,$B$11:B241,1,FALSE)</f>
        <v>#N/A</v>
      </c>
    </row>
    <row r="243" spans="1:14">
      <c r="A243" s="67"/>
      <c r="B243" s="156">
        <v>9255044</v>
      </c>
      <c r="C243" s="157" t="s">
        <v>350</v>
      </c>
      <c r="D243" s="158">
        <v>10</v>
      </c>
      <c r="E243" s="159"/>
      <c r="F243" s="160"/>
      <c r="G243" s="161">
        <v>13.979200000000001</v>
      </c>
      <c r="H243" s="162" t="str">
        <f t="shared" si="10"/>
        <v>CZK</v>
      </c>
      <c r="I243" s="163"/>
      <c r="J243" s="164" t="s">
        <v>27</v>
      </c>
      <c r="L243" s="75">
        <f>G243*(1-'FORM-I'!$V$22/100)</f>
        <v>13.979200000000001</v>
      </c>
      <c r="N243" s="11" t="e">
        <f>VLOOKUP(B243,$B$11:B242,1,FALSE)</f>
        <v>#N/A</v>
      </c>
    </row>
    <row r="244" spans="1:14">
      <c r="A244" s="67"/>
      <c r="B244" s="122">
        <v>9255045</v>
      </c>
      <c r="C244" s="123" t="s">
        <v>351</v>
      </c>
      <c r="D244" s="124">
        <v>10</v>
      </c>
      <c r="E244" s="125"/>
      <c r="F244" s="126"/>
      <c r="G244" s="127">
        <v>13.979200000000001</v>
      </c>
      <c r="H244" s="128" t="str">
        <f t="shared" si="10"/>
        <v>CZK</v>
      </c>
      <c r="I244" s="129"/>
      <c r="J244" s="130" t="s">
        <v>27</v>
      </c>
      <c r="L244" s="75">
        <f>G244*(1-'FORM-I'!$V$22/100)</f>
        <v>13.979200000000001</v>
      </c>
      <c r="N244" s="11" t="e">
        <f>VLOOKUP(B244,$B$11:B243,1,FALSE)</f>
        <v>#N/A</v>
      </c>
    </row>
    <row r="245" spans="1:14">
      <c r="A245" s="67"/>
      <c r="B245" s="122">
        <v>9255046</v>
      </c>
      <c r="C245" s="123" t="s">
        <v>352</v>
      </c>
      <c r="D245" s="124">
        <v>10</v>
      </c>
      <c r="E245" s="125"/>
      <c r="F245" s="126"/>
      <c r="G245" s="127">
        <v>14.135199999999999</v>
      </c>
      <c r="H245" s="128" t="str">
        <f t="shared" si="10"/>
        <v>CZK</v>
      </c>
      <c r="I245" s="129"/>
      <c r="J245" s="130" t="s">
        <v>27</v>
      </c>
      <c r="L245" s="75">
        <f>G245*(1-'FORM-I'!$V$22/100)</f>
        <v>14.135199999999999</v>
      </c>
      <c r="N245" s="11" t="e">
        <f>VLOOKUP(B245,$B$11:B244,1,FALSE)</f>
        <v>#N/A</v>
      </c>
    </row>
    <row r="246" spans="1:14">
      <c r="A246" s="67"/>
      <c r="B246" s="122">
        <v>9255047</v>
      </c>
      <c r="C246" s="123" t="s">
        <v>353</v>
      </c>
      <c r="D246" s="124">
        <v>10</v>
      </c>
      <c r="E246" s="125"/>
      <c r="F246" s="126"/>
      <c r="G246" s="127">
        <v>14.135199999999999</v>
      </c>
      <c r="H246" s="128" t="str">
        <f t="shared" si="10"/>
        <v>CZK</v>
      </c>
      <c r="I246" s="129"/>
      <c r="J246" s="130" t="s">
        <v>27</v>
      </c>
      <c r="L246" s="75">
        <f>G246*(1-'FORM-I'!$V$22/100)</f>
        <v>14.135199999999999</v>
      </c>
      <c r="N246" s="11" t="e">
        <f>VLOOKUP(B246,$B$11:B245,1,FALSE)</f>
        <v>#N/A</v>
      </c>
    </row>
    <row r="247" spans="1:14">
      <c r="A247" s="67"/>
      <c r="B247" s="122">
        <v>9255048</v>
      </c>
      <c r="C247" s="123" t="s">
        <v>354</v>
      </c>
      <c r="D247" s="124">
        <v>10</v>
      </c>
      <c r="E247" s="125"/>
      <c r="F247" s="126"/>
      <c r="G247" s="127">
        <v>14.3955</v>
      </c>
      <c r="H247" s="128" t="str">
        <f t="shared" si="10"/>
        <v>CZK</v>
      </c>
      <c r="I247" s="129"/>
      <c r="J247" s="130" t="s">
        <v>27</v>
      </c>
      <c r="L247" s="75">
        <f>G247*(1-'FORM-I'!$V$22/100)</f>
        <v>14.3955</v>
      </c>
      <c r="N247" s="11" t="e">
        <f>VLOOKUP(B247,$B$11:B246,1,FALSE)</f>
        <v>#N/A</v>
      </c>
    </row>
    <row r="248" spans="1:14">
      <c r="A248" s="67"/>
      <c r="B248" s="122">
        <v>9255049</v>
      </c>
      <c r="C248" s="123" t="s">
        <v>355</v>
      </c>
      <c r="D248" s="124">
        <v>10</v>
      </c>
      <c r="E248" s="125"/>
      <c r="F248" s="126"/>
      <c r="G248" s="127">
        <v>14.3955</v>
      </c>
      <c r="H248" s="128" t="str">
        <f t="shared" si="10"/>
        <v>CZK</v>
      </c>
      <c r="I248" s="129"/>
      <c r="J248" s="130" t="s">
        <v>27</v>
      </c>
      <c r="L248" s="75">
        <f>G248*(1-'FORM-I'!$V$22/100)</f>
        <v>14.3955</v>
      </c>
      <c r="N248" s="11" t="e">
        <f>VLOOKUP(B248,$B$11:B247,1,FALSE)</f>
        <v>#N/A</v>
      </c>
    </row>
    <row r="249" spans="1:14">
      <c r="A249" s="67"/>
      <c r="B249" s="122">
        <v>9255050</v>
      </c>
      <c r="C249" s="123" t="s">
        <v>356</v>
      </c>
      <c r="D249" s="124">
        <v>10</v>
      </c>
      <c r="E249" s="125"/>
      <c r="F249" s="126"/>
      <c r="G249" s="127">
        <v>14.6555</v>
      </c>
      <c r="H249" s="128" t="str">
        <f t="shared" si="10"/>
        <v>CZK</v>
      </c>
      <c r="I249" s="129"/>
      <c r="J249" s="130" t="s">
        <v>27</v>
      </c>
      <c r="L249" s="75">
        <f>G249*(1-'FORM-I'!$V$22/100)</f>
        <v>14.6555</v>
      </c>
      <c r="N249" s="11" t="e">
        <f>VLOOKUP(B249,$B$11:B248,1,FALSE)</f>
        <v>#N/A</v>
      </c>
    </row>
    <row r="250" spans="1:14">
      <c r="A250" s="67"/>
      <c r="B250" s="122">
        <v>9255051</v>
      </c>
      <c r="C250" s="123" t="s">
        <v>357</v>
      </c>
      <c r="D250" s="124">
        <v>10</v>
      </c>
      <c r="E250" s="125"/>
      <c r="F250" s="126"/>
      <c r="G250" s="127">
        <v>14.6555</v>
      </c>
      <c r="H250" s="128" t="str">
        <f t="shared" si="10"/>
        <v>CZK</v>
      </c>
      <c r="I250" s="129"/>
      <c r="J250" s="130" t="s">
        <v>27</v>
      </c>
      <c r="L250" s="75">
        <f>G250*(1-'FORM-I'!$V$22/100)</f>
        <v>14.6555</v>
      </c>
      <c r="N250" s="11" t="e">
        <f>VLOOKUP(B250,$B$11:B249,1,FALSE)</f>
        <v>#N/A</v>
      </c>
    </row>
    <row r="251" spans="1:14">
      <c r="A251" s="67"/>
      <c r="B251" s="122">
        <v>9255052</v>
      </c>
      <c r="C251" s="123" t="s">
        <v>358</v>
      </c>
      <c r="D251" s="124">
        <v>10</v>
      </c>
      <c r="E251" s="125"/>
      <c r="F251" s="126"/>
      <c r="G251" s="127">
        <v>14.915699999999999</v>
      </c>
      <c r="H251" s="128" t="str">
        <f t="shared" si="10"/>
        <v>CZK</v>
      </c>
      <c r="I251" s="129"/>
      <c r="J251" s="130" t="s">
        <v>27</v>
      </c>
      <c r="L251" s="75">
        <f>G251*(1-'FORM-I'!$V$22/100)</f>
        <v>14.915699999999999</v>
      </c>
      <c r="N251" s="11" t="e">
        <f>VLOOKUP(B251,$B$11:B250,1,FALSE)</f>
        <v>#N/A</v>
      </c>
    </row>
    <row r="252" spans="1:14">
      <c r="A252" s="67"/>
      <c r="B252" s="122">
        <v>9255053</v>
      </c>
      <c r="C252" s="123" t="s">
        <v>359</v>
      </c>
      <c r="D252" s="124">
        <v>10</v>
      </c>
      <c r="E252" s="125"/>
      <c r="F252" s="126"/>
      <c r="G252" s="127">
        <v>14.915699999999999</v>
      </c>
      <c r="H252" s="128" t="str">
        <f t="shared" si="10"/>
        <v>CZK</v>
      </c>
      <c r="I252" s="129"/>
      <c r="J252" s="130" t="s">
        <v>27</v>
      </c>
      <c r="L252" s="75">
        <f>G252*(1-'FORM-I'!$V$22/100)</f>
        <v>14.915699999999999</v>
      </c>
      <c r="N252" s="11" t="e">
        <f>VLOOKUP(B252,$B$11:B251,1,FALSE)</f>
        <v>#N/A</v>
      </c>
    </row>
    <row r="253" spans="1:14">
      <c r="A253" s="67"/>
      <c r="B253" s="122">
        <v>9255054</v>
      </c>
      <c r="C253" s="123" t="s">
        <v>360</v>
      </c>
      <c r="D253" s="124">
        <v>10</v>
      </c>
      <c r="E253" s="125"/>
      <c r="F253" s="126"/>
      <c r="G253" s="127">
        <v>15.1759</v>
      </c>
      <c r="H253" s="128" t="str">
        <f t="shared" si="10"/>
        <v>CZK</v>
      </c>
      <c r="I253" s="129"/>
      <c r="J253" s="130" t="s">
        <v>27</v>
      </c>
      <c r="L253" s="75">
        <f>G253*(1-'FORM-I'!$V$22/100)</f>
        <v>15.1759</v>
      </c>
      <c r="N253" s="11" t="e">
        <f>VLOOKUP(B253,$B$11:B252,1,FALSE)</f>
        <v>#N/A</v>
      </c>
    </row>
    <row r="254" spans="1:14">
      <c r="A254" s="67"/>
      <c r="B254" s="122">
        <v>9255055</v>
      </c>
      <c r="C254" s="123" t="s">
        <v>361</v>
      </c>
      <c r="D254" s="124">
        <v>10</v>
      </c>
      <c r="E254" s="125"/>
      <c r="F254" s="126"/>
      <c r="G254" s="127">
        <v>15.1759</v>
      </c>
      <c r="H254" s="128" t="str">
        <f t="shared" si="10"/>
        <v>CZK</v>
      </c>
      <c r="I254" s="129"/>
      <c r="J254" s="130" t="s">
        <v>27</v>
      </c>
      <c r="L254" s="75">
        <f>G254*(1-'FORM-I'!$V$22/100)</f>
        <v>15.1759</v>
      </c>
      <c r="N254" s="11" t="e">
        <f>VLOOKUP(B254,$B$11:B253,1,FALSE)</f>
        <v>#N/A</v>
      </c>
    </row>
    <row r="255" spans="1:14">
      <c r="A255" s="67"/>
      <c r="B255" s="122">
        <v>9255056</v>
      </c>
      <c r="C255" s="123" t="s">
        <v>362</v>
      </c>
      <c r="D255" s="124">
        <v>10</v>
      </c>
      <c r="E255" s="125"/>
      <c r="F255" s="126"/>
      <c r="G255" s="127">
        <v>15.4359</v>
      </c>
      <c r="H255" s="128" t="str">
        <f t="shared" si="10"/>
        <v>CZK</v>
      </c>
      <c r="I255" s="129"/>
      <c r="J255" s="130" t="s">
        <v>27</v>
      </c>
      <c r="L255" s="75">
        <f>G255*(1-'FORM-I'!$V$22/100)</f>
        <v>15.4359</v>
      </c>
      <c r="N255" s="11" t="e">
        <f>VLOOKUP(B255,$B$11:B254,1,FALSE)</f>
        <v>#N/A</v>
      </c>
    </row>
    <row r="256" spans="1:14">
      <c r="A256" s="67"/>
      <c r="B256" s="122">
        <v>9255057</v>
      </c>
      <c r="C256" s="123" t="s">
        <v>363</v>
      </c>
      <c r="D256" s="124">
        <v>10</v>
      </c>
      <c r="E256" s="125"/>
      <c r="F256" s="126"/>
      <c r="G256" s="127">
        <v>15.4359</v>
      </c>
      <c r="H256" s="128" t="str">
        <f t="shared" si="10"/>
        <v>CZK</v>
      </c>
      <c r="I256" s="129"/>
      <c r="J256" s="130" t="s">
        <v>27</v>
      </c>
      <c r="L256" s="75">
        <f>G256*(1-'FORM-I'!$V$22/100)</f>
        <v>15.4359</v>
      </c>
      <c r="N256" s="11" t="e">
        <f>VLOOKUP(B256,$B$11:B255,1,FALSE)</f>
        <v>#N/A</v>
      </c>
    </row>
    <row r="257" spans="1:14">
      <c r="A257" s="67"/>
      <c r="B257" s="122">
        <v>9255058</v>
      </c>
      <c r="C257" s="123" t="s">
        <v>364</v>
      </c>
      <c r="D257" s="124">
        <v>10</v>
      </c>
      <c r="E257" s="125"/>
      <c r="F257" s="126"/>
      <c r="G257" s="127">
        <v>15.8284</v>
      </c>
      <c r="H257" s="128" t="str">
        <f t="shared" si="10"/>
        <v>CZK</v>
      </c>
      <c r="I257" s="129"/>
      <c r="J257" s="130" t="s">
        <v>27</v>
      </c>
      <c r="L257" s="75">
        <f>G257*(1-'FORM-I'!$V$22/100)</f>
        <v>15.8284</v>
      </c>
      <c r="N257" s="11" t="e">
        <f>VLOOKUP(B257,$B$11:B256,1,FALSE)</f>
        <v>#N/A</v>
      </c>
    </row>
    <row r="258" spans="1:14">
      <c r="A258" s="67"/>
      <c r="B258" s="122">
        <v>9255059</v>
      </c>
      <c r="C258" s="123" t="s">
        <v>365</v>
      </c>
      <c r="D258" s="124">
        <v>10</v>
      </c>
      <c r="E258" s="125"/>
      <c r="F258" s="126"/>
      <c r="G258" s="127">
        <v>15.8284</v>
      </c>
      <c r="H258" s="128" t="str">
        <f t="shared" si="10"/>
        <v>CZK</v>
      </c>
      <c r="I258" s="129"/>
      <c r="J258" s="130" t="s">
        <v>27</v>
      </c>
      <c r="L258" s="75">
        <f>G258*(1-'FORM-I'!$V$22/100)</f>
        <v>15.8284</v>
      </c>
      <c r="N258" s="11" t="e">
        <f>VLOOKUP(B258,$B$11:B257,1,FALSE)</f>
        <v>#N/A</v>
      </c>
    </row>
    <row r="259" spans="1:14">
      <c r="A259" s="67"/>
      <c r="B259" s="122">
        <v>9255060</v>
      </c>
      <c r="C259" s="123" t="s">
        <v>366</v>
      </c>
      <c r="D259" s="124">
        <v>10</v>
      </c>
      <c r="E259" s="125"/>
      <c r="F259" s="126"/>
      <c r="G259" s="127">
        <v>16.361999999999998</v>
      </c>
      <c r="H259" s="128" t="str">
        <f t="shared" si="10"/>
        <v>CZK</v>
      </c>
      <c r="I259" s="129"/>
      <c r="J259" s="130" t="s">
        <v>27</v>
      </c>
      <c r="L259" s="75">
        <f>G259*(1-'FORM-I'!$V$22/100)</f>
        <v>16.361999999999998</v>
      </c>
      <c r="N259" s="11" t="e">
        <f>VLOOKUP(B259,$B$11:B258,1,FALSE)</f>
        <v>#N/A</v>
      </c>
    </row>
    <row r="260" spans="1:14">
      <c r="A260" s="67"/>
      <c r="B260" s="165">
        <v>9255061</v>
      </c>
      <c r="C260" s="166" t="s">
        <v>367</v>
      </c>
      <c r="D260" s="167">
        <v>10</v>
      </c>
      <c r="E260" s="168"/>
      <c r="F260" s="169"/>
      <c r="G260" s="170">
        <v>16.361999999999998</v>
      </c>
      <c r="H260" s="171" t="str">
        <f t="shared" si="10"/>
        <v>CZK</v>
      </c>
      <c r="I260" s="172"/>
      <c r="J260" s="173" t="s">
        <v>27</v>
      </c>
      <c r="L260" s="75">
        <f>G260*(1-'FORM-I'!$V$22/100)</f>
        <v>16.361999999999998</v>
      </c>
      <c r="N260" s="11" t="e">
        <f>VLOOKUP(B260,$B$11:B259,1,FALSE)</f>
        <v>#N/A</v>
      </c>
    </row>
    <row r="261" spans="1:14">
      <c r="A261" s="102"/>
      <c r="B261" s="156">
        <v>9255124</v>
      </c>
      <c r="C261" s="157" t="s">
        <v>368</v>
      </c>
      <c r="D261" s="158">
        <v>10</v>
      </c>
      <c r="E261" s="159"/>
      <c r="F261" s="160"/>
      <c r="G261" s="161">
        <v>13.979200000000001</v>
      </c>
      <c r="H261" s="162" t="str">
        <f t="shared" si="10"/>
        <v>CZK</v>
      </c>
      <c r="I261" s="163"/>
      <c r="J261" s="164" t="s">
        <v>27</v>
      </c>
      <c r="L261" s="75">
        <f>G261*(1-'FORM-I'!$V$22/100)</f>
        <v>13.979200000000001</v>
      </c>
      <c r="N261" s="11" t="e">
        <f>VLOOKUP(B261,$B$11:B260,1,FALSE)</f>
        <v>#N/A</v>
      </c>
    </row>
    <row r="262" spans="1:14">
      <c r="A262" s="102"/>
      <c r="B262" s="122">
        <v>9255125</v>
      </c>
      <c r="C262" s="123" t="s">
        <v>369</v>
      </c>
      <c r="D262" s="124">
        <v>10</v>
      </c>
      <c r="E262" s="125"/>
      <c r="F262" s="126"/>
      <c r="G262" s="127">
        <v>13.979200000000001</v>
      </c>
      <c r="H262" s="128" t="str">
        <f t="shared" si="10"/>
        <v>CZK</v>
      </c>
      <c r="I262" s="129"/>
      <c r="J262" s="130" t="s">
        <v>27</v>
      </c>
      <c r="L262" s="75">
        <f>G262*(1-'FORM-I'!$V$22/100)</f>
        <v>13.979200000000001</v>
      </c>
      <c r="N262" s="11" t="e">
        <f>VLOOKUP(B262,$B$11:B261,1,FALSE)</f>
        <v>#N/A</v>
      </c>
    </row>
    <row r="263" spans="1:14">
      <c r="A263" s="102"/>
      <c r="B263" s="122">
        <v>9255126</v>
      </c>
      <c r="C263" s="123" t="s">
        <v>370</v>
      </c>
      <c r="D263" s="124">
        <v>10</v>
      </c>
      <c r="E263" s="125"/>
      <c r="F263" s="126"/>
      <c r="G263" s="127">
        <v>14.135199999999999</v>
      </c>
      <c r="H263" s="128" t="str">
        <f t="shared" si="10"/>
        <v>CZK</v>
      </c>
      <c r="I263" s="129"/>
      <c r="J263" s="130" t="s">
        <v>27</v>
      </c>
      <c r="L263" s="75">
        <f>G263*(1-'FORM-I'!$V$22/100)</f>
        <v>14.135199999999999</v>
      </c>
      <c r="N263" s="11" t="e">
        <f>VLOOKUP(B263,$B$11:B262,1,FALSE)</f>
        <v>#N/A</v>
      </c>
    </row>
    <row r="264" spans="1:14">
      <c r="A264" s="102"/>
      <c r="B264" s="122">
        <v>9255127</v>
      </c>
      <c r="C264" s="123" t="s">
        <v>371</v>
      </c>
      <c r="D264" s="124">
        <v>10</v>
      </c>
      <c r="E264" s="125"/>
      <c r="F264" s="126"/>
      <c r="G264" s="127">
        <v>14.135199999999999</v>
      </c>
      <c r="H264" s="128" t="str">
        <f t="shared" si="10"/>
        <v>CZK</v>
      </c>
      <c r="I264" s="129"/>
      <c r="J264" s="130" t="s">
        <v>27</v>
      </c>
      <c r="L264" s="75">
        <f>G264*(1-'FORM-I'!$V$22/100)</f>
        <v>14.135199999999999</v>
      </c>
      <c r="N264" s="11" t="e">
        <f>VLOOKUP(B264,$B$11:B263,1,FALSE)</f>
        <v>#N/A</v>
      </c>
    </row>
    <row r="265" spans="1:14">
      <c r="A265" s="102"/>
      <c r="B265" s="122">
        <v>9255128</v>
      </c>
      <c r="C265" s="123" t="s">
        <v>372</v>
      </c>
      <c r="D265" s="124">
        <v>10</v>
      </c>
      <c r="E265" s="125"/>
      <c r="F265" s="126"/>
      <c r="G265" s="127">
        <v>14.3955</v>
      </c>
      <c r="H265" s="128" t="str">
        <f t="shared" si="10"/>
        <v>CZK</v>
      </c>
      <c r="I265" s="129"/>
      <c r="J265" s="130" t="s">
        <v>27</v>
      </c>
      <c r="L265" s="75">
        <f>G265*(1-'FORM-I'!$V$22/100)</f>
        <v>14.3955</v>
      </c>
      <c r="N265" s="11" t="e">
        <f>VLOOKUP(B265,$B$11:B264,1,FALSE)</f>
        <v>#N/A</v>
      </c>
    </row>
    <row r="266" spans="1:14">
      <c r="A266" s="102"/>
      <c r="B266" s="122">
        <v>9255129</v>
      </c>
      <c r="C266" s="123" t="s">
        <v>373</v>
      </c>
      <c r="D266" s="124">
        <v>10</v>
      </c>
      <c r="E266" s="125"/>
      <c r="F266" s="126"/>
      <c r="G266" s="127">
        <v>14.3955</v>
      </c>
      <c r="H266" s="128" t="str">
        <f t="shared" si="10"/>
        <v>CZK</v>
      </c>
      <c r="I266" s="129"/>
      <c r="J266" s="130" t="s">
        <v>27</v>
      </c>
      <c r="L266" s="75">
        <f>G266*(1-'FORM-I'!$V$22/100)</f>
        <v>14.3955</v>
      </c>
      <c r="N266" s="11" t="e">
        <f>VLOOKUP(B266,$B$11:B265,1,FALSE)</f>
        <v>#N/A</v>
      </c>
    </row>
    <row r="267" spans="1:14">
      <c r="A267" s="102"/>
      <c r="B267" s="122">
        <v>9255130</v>
      </c>
      <c r="C267" s="123" t="s">
        <v>374</v>
      </c>
      <c r="D267" s="124">
        <v>10</v>
      </c>
      <c r="E267" s="125"/>
      <c r="F267" s="126"/>
      <c r="G267" s="127">
        <v>14.6555</v>
      </c>
      <c r="H267" s="128" t="str">
        <f t="shared" si="10"/>
        <v>CZK</v>
      </c>
      <c r="I267" s="129"/>
      <c r="J267" s="130" t="s">
        <v>27</v>
      </c>
      <c r="L267" s="75">
        <f>G267*(1-'FORM-I'!$V$22/100)</f>
        <v>14.6555</v>
      </c>
      <c r="N267" s="11" t="e">
        <f>VLOOKUP(B267,$B$11:B266,1,FALSE)</f>
        <v>#N/A</v>
      </c>
    </row>
    <row r="268" spans="1:14">
      <c r="A268" s="102"/>
      <c r="B268" s="122">
        <v>9255131</v>
      </c>
      <c r="C268" s="123" t="s">
        <v>375</v>
      </c>
      <c r="D268" s="124">
        <v>10</v>
      </c>
      <c r="E268" s="125"/>
      <c r="F268" s="126"/>
      <c r="G268" s="127">
        <v>14.6555</v>
      </c>
      <c r="H268" s="128" t="str">
        <f t="shared" si="10"/>
        <v>CZK</v>
      </c>
      <c r="I268" s="129"/>
      <c r="J268" s="130" t="s">
        <v>27</v>
      </c>
      <c r="L268" s="75">
        <f>G268*(1-'FORM-I'!$V$22/100)</f>
        <v>14.6555</v>
      </c>
      <c r="N268" s="11" t="e">
        <f>VLOOKUP(B268,$B$11:B267,1,FALSE)</f>
        <v>#N/A</v>
      </c>
    </row>
    <row r="269" spans="1:14">
      <c r="A269" s="102"/>
      <c r="B269" s="122">
        <v>9255132</v>
      </c>
      <c r="C269" s="123" t="s">
        <v>376</v>
      </c>
      <c r="D269" s="124">
        <v>10</v>
      </c>
      <c r="E269" s="125"/>
      <c r="F269" s="126"/>
      <c r="G269" s="127">
        <v>14.915699999999999</v>
      </c>
      <c r="H269" s="128" t="str">
        <f t="shared" si="10"/>
        <v>CZK</v>
      </c>
      <c r="I269" s="129"/>
      <c r="J269" s="130" t="s">
        <v>27</v>
      </c>
      <c r="L269" s="75">
        <f>G269*(1-'FORM-I'!$V$22/100)</f>
        <v>14.915699999999999</v>
      </c>
      <c r="N269" s="11" t="e">
        <f>VLOOKUP(B269,$B$11:B268,1,FALSE)</f>
        <v>#N/A</v>
      </c>
    </row>
    <row r="270" spans="1:14">
      <c r="A270" s="102"/>
      <c r="B270" s="122">
        <v>9255133</v>
      </c>
      <c r="C270" s="123" t="s">
        <v>377</v>
      </c>
      <c r="D270" s="124">
        <v>10</v>
      </c>
      <c r="E270" s="125"/>
      <c r="F270" s="126"/>
      <c r="G270" s="127">
        <v>14.915699999999999</v>
      </c>
      <c r="H270" s="128" t="str">
        <f t="shared" si="10"/>
        <v>CZK</v>
      </c>
      <c r="I270" s="129"/>
      <c r="J270" s="130" t="s">
        <v>27</v>
      </c>
      <c r="L270" s="75">
        <f>G270*(1-'FORM-I'!$V$22/100)</f>
        <v>14.915699999999999</v>
      </c>
      <c r="N270" s="11" t="e">
        <f>VLOOKUP(B270,$B$11:B269,1,FALSE)</f>
        <v>#N/A</v>
      </c>
    </row>
    <row r="271" spans="1:14">
      <c r="A271" s="102"/>
      <c r="B271" s="122">
        <v>9255134</v>
      </c>
      <c r="C271" s="123" t="s">
        <v>378</v>
      </c>
      <c r="D271" s="124">
        <v>10</v>
      </c>
      <c r="E271" s="125"/>
      <c r="F271" s="126"/>
      <c r="G271" s="127">
        <v>15.1759</v>
      </c>
      <c r="H271" s="128" t="str">
        <f t="shared" si="10"/>
        <v>CZK</v>
      </c>
      <c r="I271" s="129"/>
      <c r="J271" s="130" t="s">
        <v>27</v>
      </c>
      <c r="L271" s="75">
        <f>G271*(1-'FORM-I'!$V$22/100)</f>
        <v>15.1759</v>
      </c>
      <c r="N271" s="11" t="e">
        <f>VLOOKUP(B271,$B$11:B270,1,FALSE)</f>
        <v>#N/A</v>
      </c>
    </row>
    <row r="272" spans="1:14">
      <c r="A272" s="102"/>
      <c r="B272" s="122">
        <v>9255135</v>
      </c>
      <c r="C272" s="123" t="s">
        <v>379</v>
      </c>
      <c r="D272" s="124">
        <v>10</v>
      </c>
      <c r="E272" s="125"/>
      <c r="F272" s="126"/>
      <c r="G272" s="127">
        <v>15.1759</v>
      </c>
      <c r="H272" s="128" t="str">
        <f t="shared" si="10"/>
        <v>CZK</v>
      </c>
      <c r="I272" s="129"/>
      <c r="J272" s="130" t="s">
        <v>27</v>
      </c>
      <c r="L272" s="75">
        <f>G272*(1-'FORM-I'!$V$22/100)</f>
        <v>15.1759</v>
      </c>
      <c r="N272" s="11" t="e">
        <f>VLOOKUP(B272,$B$11:B271,1,FALSE)</f>
        <v>#N/A</v>
      </c>
    </row>
    <row r="273" spans="1:14">
      <c r="A273" s="102"/>
      <c r="B273" s="122">
        <v>9255136</v>
      </c>
      <c r="C273" s="123" t="s">
        <v>380</v>
      </c>
      <c r="D273" s="124">
        <v>10</v>
      </c>
      <c r="E273" s="125"/>
      <c r="F273" s="126"/>
      <c r="G273" s="127">
        <v>15.4359</v>
      </c>
      <c r="H273" s="128" t="str">
        <f t="shared" si="10"/>
        <v>CZK</v>
      </c>
      <c r="I273" s="129"/>
      <c r="J273" s="130" t="s">
        <v>27</v>
      </c>
      <c r="L273" s="75">
        <f>G273*(1-'FORM-I'!$V$22/100)</f>
        <v>15.4359</v>
      </c>
      <c r="N273" s="11" t="e">
        <f>VLOOKUP(B273,$B$11:B272,1,FALSE)</f>
        <v>#N/A</v>
      </c>
    </row>
    <row r="274" spans="1:14">
      <c r="A274" s="102"/>
      <c r="B274" s="122">
        <v>9255137</v>
      </c>
      <c r="C274" s="123" t="s">
        <v>381</v>
      </c>
      <c r="D274" s="124">
        <v>10</v>
      </c>
      <c r="E274" s="125"/>
      <c r="F274" s="126"/>
      <c r="G274" s="127">
        <v>15.4359</v>
      </c>
      <c r="H274" s="128" t="str">
        <f t="shared" si="10"/>
        <v>CZK</v>
      </c>
      <c r="I274" s="129"/>
      <c r="J274" s="130" t="s">
        <v>27</v>
      </c>
      <c r="L274" s="75">
        <f>G274*(1-'FORM-I'!$V$22/100)</f>
        <v>15.4359</v>
      </c>
      <c r="N274" s="11" t="e">
        <f>VLOOKUP(B274,$B$11:B273,1,FALSE)</f>
        <v>#N/A</v>
      </c>
    </row>
    <row r="275" spans="1:14">
      <c r="A275" s="102"/>
      <c r="B275" s="122">
        <v>9255138</v>
      </c>
      <c r="C275" s="123" t="s">
        <v>382</v>
      </c>
      <c r="D275" s="124">
        <v>10</v>
      </c>
      <c r="E275" s="125"/>
      <c r="F275" s="126"/>
      <c r="G275" s="127">
        <v>15.8284</v>
      </c>
      <c r="H275" s="128" t="str">
        <f t="shared" si="10"/>
        <v>CZK</v>
      </c>
      <c r="I275" s="129"/>
      <c r="J275" s="130" t="s">
        <v>27</v>
      </c>
      <c r="L275" s="75">
        <f>G275*(1-'FORM-I'!$V$22/100)</f>
        <v>15.8284</v>
      </c>
      <c r="N275" s="11" t="e">
        <f>VLOOKUP(B275,$B$11:B274,1,FALSE)</f>
        <v>#N/A</v>
      </c>
    </row>
    <row r="276" spans="1:14">
      <c r="A276" s="102"/>
      <c r="B276" s="122">
        <v>9255139</v>
      </c>
      <c r="C276" s="123" t="s">
        <v>383</v>
      </c>
      <c r="D276" s="124">
        <v>10</v>
      </c>
      <c r="E276" s="125"/>
      <c r="F276" s="126"/>
      <c r="G276" s="127">
        <v>15.8284</v>
      </c>
      <c r="H276" s="128" t="str">
        <f t="shared" si="10"/>
        <v>CZK</v>
      </c>
      <c r="I276" s="129"/>
      <c r="J276" s="130" t="s">
        <v>27</v>
      </c>
      <c r="L276" s="75">
        <f>G276*(1-'FORM-I'!$V$22/100)</f>
        <v>15.8284</v>
      </c>
      <c r="N276" s="11" t="e">
        <f>VLOOKUP(B276,$B$11:B275,1,FALSE)</f>
        <v>#N/A</v>
      </c>
    </row>
    <row r="277" spans="1:14">
      <c r="A277" s="102"/>
      <c r="B277" s="122">
        <v>9255140</v>
      </c>
      <c r="C277" s="123" t="s">
        <v>384</v>
      </c>
      <c r="D277" s="124">
        <v>10</v>
      </c>
      <c r="E277" s="125"/>
      <c r="F277" s="126"/>
      <c r="G277" s="127">
        <v>16.361999999999998</v>
      </c>
      <c r="H277" s="128" t="str">
        <f t="shared" si="10"/>
        <v>CZK</v>
      </c>
      <c r="I277" s="129"/>
      <c r="J277" s="130" t="s">
        <v>27</v>
      </c>
      <c r="L277" s="75">
        <f>G277*(1-'FORM-I'!$V$22/100)</f>
        <v>16.361999999999998</v>
      </c>
      <c r="N277" s="11" t="e">
        <f>VLOOKUP(B277,$B$11:B276,1,FALSE)</f>
        <v>#N/A</v>
      </c>
    </row>
    <row r="278" spans="1:14">
      <c r="A278" s="102"/>
      <c r="B278" s="165">
        <v>9255141</v>
      </c>
      <c r="C278" s="166" t="s">
        <v>385</v>
      </c>
      <c r="D278" s="167">
        <v>10</v>
      </c>
      <c r="E278" s="168"/>
      <c r="F278" s="169"/>
      <c r="G278" s="170">
        <v>16.361999999999998</v>
      </c>
      <c r="H278" s="171" t="str">
        <f t="shared" si="10"/>
        <v>CZK</v>
      </c>
      <c r="I278" s="172"/>
      <c r="J278" s="173" t="s">
        <v>27</v>
      </c>
      <c r="L278" s="75">
        <f>G278*(1-'FORM-I'!$V$22/100)</f>
        <v>16.361999999999998</v>
      </c>
      <c r="N278" s="11" t="e">
        <f>VLOOKUP(B278,$B$11:B277,1,FALSE)</f>
        <v>#N/A</v>
      </c>
    </row>
    <row r="279" spans="1:14">
      <c r="A279" s="112"/>
      <c r="B279" s="156">
        <v>9255204</v>
      </c>
      <c r="C279" s="157" t="s">
        <v>386</v>
      </c>
      <c r="D279" s="158">
        <v>10</v>
      </c>
      <c r="E279" s="159"/>
      <c r="F279" s="160"/>
      <c r="G279" s="161">
        <v>13.979200000000001</v>
      </c>
      <c r="H279" s="162" t="str">
        <f t="shared" si="10"/>
        <v>CZK</v>
      </c>
      <c r="I279" s="163"/>
      <c r="J279" s="164" t="s">
        <v>27</v>
      </c>
      <c r="L279" s="75">
        <f>G279*(1-'FORM-I'!$V$22/100)</f>
        <v>13.979200000000001</v>
      </c>
      <c r="N279" s="11" t="e">
        <f>VLOOKUP(B279,$B$11:B278,1,FALSE)</f>
        <v>#N/A</v>
      </c>
    </row>
    <row r="280" spans="1:14">
      <c r="A280" s="112"/>
      <c r="B280" s="122">
        <v>9255205</v>
      </c>
      <c r="C280" s="123" t="s">
        <v>387</v>
      </c>
      <c r="D280" s="124">
        <v>10</v>
      </c>
      <c r="E280" s="125"/>
      <c r="F280" s="126"/>
      <c r="G280" s="127">
        <v>13.979200000000001</v>
      </c>
      <c r="H280" s="128" t="str">
        <f t="shared" si="10"/>
        <v>CZK</v>
      </c>
      <c r="I280" s="129"/>
      <c r="J280" s="130" t="s">
        <v>27</v>
      </c>
      <c r="L280" s="75">
        <f>G280*(1-'FORM-I'!$V$22/100)</f>
        <v>13.979200000000001</v>
      </c>
      <c r="N280" s="11" t="e">
        <f>VLOOKUP(B280,$B$11:B279,1,FALSE)</f>
        <v>#N/A</v>
      </c>
    </row>
    <row r="281" spans="1:14">
      <c r="A281" s="112"/>
      <c r="B281" s="122">
        <v>9255206</v>
      </c>
      <c r="C281" s="123" t="s">
        <v>388</v>
      </c>
      <c r="D281" s="124">
        <v>10</v>
      </c>
      <c r="E281" s="125"/>
      <c r="F281" s="126"/>
      <c r="G281" s="127">
        <v>14.135199999999999</v>
      </c>
      <c r="H281" s="128" t="str">
        <f t="shared" si="10"/>
        <v>CZK</v>
      </c>
      <c r="I281" s="129"/>
      <c r="J281" s="130" t="s">
        <v>27</v>
      </c>
      <c r="L281" s="75">
        <f>G281*(1-'FORM-I'!$V$22/100)</f>
        <v>14.135199999999999</v>
      </c>
      <c r="N281" s="11" t="e">
        <f>VLOOKUP(B281,$B$11:B280,1,FALSE)</f>
        <v>#N/A</v>
      </c>
    </row>
    <row r="282" spans="1:14">
      <c r="A282" s="112"/>
      <c r="B282" s="122">
        <v>9255207</v>
      </c>
      <c r="C282" s="123" t="s">
        <v>389</v>
      </c>
      <c r="D282" s="124">
        <v>10</v>
      </c>
      <c r="E282" s="125"/>
      <c r="F282" s="126"/>
      <c r="G282" s="127">
        <v>14.135199999999999</v>
      </c>
      <c r="H282" s="128" t="str">
        <f t="shared" si="10"/>
        <v>CZK</v>
      </c>
      <c r="I282" s="129"/>
      <c r="J282" s="130" t="s">
        <v>27</v>
      </c>
      <c r="L282" s="75">
        <f>G282*(1-'FORM-I'!$V$22/100)</f>
        <v>14.135199999999999</v>
      </c>
      <c r="N282" s="11" t="e">
        <f>VLOOKUP(B282,$B$11:B281,1,FALSE)</f>
        <v>#N/A</v>
      </c>
    </row>
    <row r="283" spans="1:14">
      <c r="A283" s="112"/>
      <c r="B283" s="122">
        <v>9255208</v>
      </c>
      <c r="C283" s="123" t="s">
        <v>390</v>
      </c>
      <c r="D283" s="124">
        <v>10</v>
      </c>
      <c r="E283" s="125"/>
      <c r="F283" s="126"/>
      <c r="G283" s="127">
        <v>14.3955</v>
      </c>
      <c r="H283" s="128" t="str">
        <f t="shared" si="10"/>
        <v>CZK</v>
      </c>
      <c r="I283" s="129"/>
      <c r="J283" s="130" t="s">
        <v>27</v>
      </c>
      <c r="L283" s="75">
        <f>G283*(1-'FORM-I'!$V$22/100)</f>
        <v>14.3955</v>
      </c>
      <c r="N283" s="11" t="e">
        <f>VLOOKUP(B283,$B$11:B282,1,FALSE)</f>
        <v>#N/A</v>
      </c>
    </row>
    <row r="284" spans="1:14">
      <c r="A284" s="112"/>
      <c r="B284" s="122">
        <v>9255209</v>
      </c>
      <c r="C284" s="123" t="s">
        <v>391</v>
      </c>
      <c r="D284" s="124">
        <v>10</v>
      </c>
      <c r="E284" s="125"/>
      <c r="F284" s="126"/>
      <c r="G284" s="127">
        <v>14.3955</v>
      </c>
      <c r="H284" s="128" t="str">
        <f t="shared" si="10"/>
        <v>CZK</v>
      </c>
      <c r="I284" s="129"/>
      <c r="J284" s="130" t="s">
        <v>27</v>
      </c>
      <c r="L284" s="75">
        <f>G284*(1-'FORM-I'!$V$22/100)</f>
        <v>14.3955</v>
      </c>
      <c r="N284" s="11" t="e">
        <f>VLOOKUP(B284,$B$11:B283,1,FALSE)</f>
        <v>#N/A</v>
      </c>
    </row>
    <row r="285" spans="1:14">
      <c r="A285" s="112"/>
      <c r="B285" s="122">
        <v>9255210</v>
      </c>
      <c r="C285" s="123" t="s">
        <v>392</v>
      </c>
      <c r="D285" s="124">
        <v>10</v>
      </c>
      <c r="E285" s="125"/>
      <c r="F285" s="126"/>
      <c r="G285" s="127">
        <v>14.6555</v>
      </c>
      <c r="H285" s="128" t="str">
        <f t="shared" si="10"/>
        <v>CZK</v>
      </c>
      <c r="I285" s="129"/>
      <c r="J285" s="130" t="s">
        <v>27</v>
      </c>
      <c r="L285" s="75">
        <f>G285*(1-'FORM-I'!$V$22/100)</f>
        <v>14.6555</v>
      </c>
      <c r="N285" s="11" t="e">
        <f>VLOOKUP(B285,$B$11:B284,1,FALSE)</f>
        <v>#N/A</v>
      </c>
    </row>
    <row r="286" spans="1:14">
      <c r="A286" s="112"/>
      <c r="B286" s="122">
        <v>9255211</v>
      </c>
      <c r="C286" s="123" t="s">
        <v>393</v>
      </c>
      <c r="D286" s="124">
        <v>10</v>
      </c>
      <c r="E286" s="125"/>
      <c r="F286" s="126"/>
      <c r="G286" s="127">
        <v>14.6555</v>
      </c>
      <c r="H286" s="128" t="str">
        <f t="shared" si="10"/>
        <v>CZK</v>
      </c>
      <c r="I286" s="129"/>
      <c r="J286" s="130" t="s">
        <v>27</v>
      </c>
      <c r="L286" s="75">
        <f>G286*(1-'FORM-I'!$V$22/100)</f>
        <v>14.6555</v>
      </c>
      <c r="N286" s="11" t="e">
        <f>VLOOKUP(B286,$B$11:B285,1,FALSE)</f>
        <v>#N/A</v>
      </c>
    </row>
    <row r="287" spans="1:14">
      <c r="A287" s="112"/>
      <c r="B287" s="122">
        <v>9255212</v>
      </c>
      <c r="C287" s="123" t="s">
        <v>394</v>
      </c>
      <c r="D287" s="124">
        <v>10</v>
      </c>
      <c r="E287" s="125"/>
      <c r="F287" s="126"/>
      <c r="G287" s="127">
        <v>14.915699999999999</v>
      </c>
      <c r="H287" s="128" t="str">
        <f t="shared" si="10"/>
        <v>CZK</v>
      </c>
      <c r="I287" s="129"/>
      <c r="J287" s="130" t="s">
        <v>27</v>
      </c>
      <c r="L287" s="75">
        <f>G287*(1-'FORM-I'!$V$22/100)</f>
        <v>14.915699999999999</v>
      </c>
      <c r="N287" s="11" t="e">
        <f>VLOOKUP(B287,$B$11:B286,1,FALSE)</f>
        <v>#N/A</v>
      </c>
    </row>
    <row r="288" spans="1:14">
      <c r="A288" s="112"/>
      <c r="B288" s="122">
        <v>9255213</v>
      </c>
      <c r="C288" s="123" t="s">
        <v>395</v>
      </c>
      <c r="D288" s="124">
        <v>10</v>
      </c>
      <c r="E288" s="125"/>
      <c r="F288" s="126"/>
      <c r="G288" s="127">
        <v>14.915699999999999</v>
      </c>
      <c r="H288" s="128" t="str">
        <f t="shared" si="10"/>
        <v>CZK</v>
      </c>
      <c r="I288" s="129"/>
      <c r="J288" s="130" t="s">
        <v>27</v>
      </c>
      <c r="L288" s="75">
        <f>G288*(1-'FORM-I'!$V$22/100)</f>
        <v>14.915699999999999</v>
      </c>
      <c r="N288" s="11" t="e">
        <f>VLOOKUP(B288,$B$11:B287,1,FALSE)</f>
        <v>#N/A</v>
      </c>
    </row>
    <row r="289" spans="1:14">
      <c r="A289" s="112"/>
      <c r="B289" s="122">
        <v>9255214</v>
      </c>
      <c r="C289" s="123" t="s">
        <v>396</v>
      </c>
      <c r="D289" s="124">
        <v>10</v>
      </c>
      <c r="E289" s="125"/>
      <c r="F289" s="126"/>
      <c r="G289" s="127">
        <v>15.1759</v>
      </c>
      <c r="H289" s="128" t="str">
        <f t="shared" si="10"/>
        <v>CZK</v>
      </c>
      <c r="I289" s="129"/>
      <c r="J289" s="130" t="s">
        <v>27</v>
      </c>
      <c r="L289" s="75">
        <f>G289*(1-'FORM-I'!$V$22/100)</f>
        <v>15.1759</v>
      </c>
      <c r="N289" s="11" t="e">
        <f>VLOOKUP(B289,$B$11:B288,1,FALSE)</f>
        <v>#N/A</v>
      </c>
    </row>
    <row r="290" spans="1:14">
      <c r="A290" s="112"/>
      <c r="B290" s="122">
        <v>9255215</v>
      </c>
      <c r="C290" s="123" t="s">
        <v>397</v>
      </c>
      <c r="D290" s="124">
        <v>10</v>
      </c>
      <c r="E290" s="125"/>
      <c r="F290" s="126"/>
      <c r="G290" s="127">
        <v>15.1759</v>
      </c>
      <c r="H290" s="128" t="str">
        <f t="shared" si="10"/>
        <v>CZK</v>
      </c>
      <c r="I290" s="129"/>
      <c r="J290" s="130" t="s">
        <v>27</v>
      </c>
      <c r="L290" s="75">
        <f>G290*(1-'FORM-I'!$V$22/100)</f>
        <v>15.1759</v>
      </c>
      <c r="N290" s="11" t="e">
        <f>VLOOKUP(B290,$B$11:B289,1,FALSE)</f>
        <v>#N/A</v>
      </c>
    </row>
    <row r="291" spans="1:14">
      <c r="A291" s="112"/>
      <c r="B291" s="122">
        <v>9255216</v>
      </c>
      <c r="C291" s="123" t="s">
        <v>398</v>
      </c>
      <c r="D291" s="124">
        <v>10</v>
      </c>
      <c r="E291" s="125"/>
      <c r="F291" s="126"/>
      <c r="G291" s="127">
        <v>15.4359</v>
      </c>
      <c r="H291" s="128" t="str">
        <f t="shared" si="10"/>
        <v>CZK</v>
      </c>
      <c r="I291" s="129"/>
      <c r="J291" s="130" t="s">
        <v>27</v>
      </c>
      <c r="L291" s="75">
        <f>G291*(1-'FORM-I'!$V$22/100)</f>
        <v>15.4359</v>
      </c>
      <c r="N291" s="11" t="e">
        <f>VLOOKUP(B291,$B$11:B290,1,FALSE)</f>
        <v>#N/A</v>
      </c>
    </row>
    <row r="292" spans="1:14">
      <c r="A292" s="112"/>
      <c r="B292" s="122">
        <v>9255217</v>
      </c>
      <c r="C292" s="123" t="s">
        <v>399</v>
      </c>
      <c r="D292" s="124">
        <v>10</v>
      </c>
      <c r="E292" s="125"/>
      <c r="F292" s="126"/>
      <c r="G292" s="127">
        <v>15.4359</v>
      </c>
      <c r="H292" s="128" t="str">
        <f t="shared" si="10"/>
        <v>CZK</v>
      </c>
      <c r="I292" s="129"/>
      <c r="J292" s="130" t="s">
        <v>27</v>
      </c>
      <c r="L292" s="75">
        <f>G292*(1-'FORM-I'!$V$22/100)</f>
        <v>15.4359</v>
      </c>
      <c r="N292" s="11" t="e">
        <f>VLOOKUP(B292,$B$11:B291,1,FALSE)</f>
        <v>#N/A</v>
      </c>
    </row>
    <row r="293" spans="1:14">
      <c r="A293" s="112"/>
      <c r="B293" s="122">
        <v>9255218</v>
      </c>
      <c r="C293" s="123" t="s">
        <v>400</v>
      </c>
      <c r="D293" s="124">
        <v>10</v>
      </c>
      <c r="E293" s="125"/>
      <c r="F293" s="126"/>
      <c r="G293" s="127">
        <v>15.8284</v>
      </c>
      <c r="H293" s="128" t="str">
        <f t="shared" ref="H293:H298" si="11">IF(G293="","",$H$10)</f>
        <v>CZK</v>
      </c>
      <c r="I293" s="129"/>
      <c r="J293" s="130" t="s">
        <v>27</v>
      </c>
      <c r="L293" s="75">
        <f>G293*(1-'FORM-I'!$V$22/100)</f>
        <v>15.8284</v>
      </c>
      <c r="N293" s="11" t="e">
        <f>VLOOKUP(B293,$B$11:B292,1,FALSE)</f>
        <v>#N/A</v>
      </c>
    </row>
    <row r="294" spans="1:14">
      <c r="A294" s="112"/>
      <c r="B294" s="122">
        <v>9255219</v>
      </c>
      <c r="C294" s="123" t="s">
        <v>401</v>
      </c>
      <c r="D294" s="124">
        <v>10</v>
      </c>
      <c r="E294" s="125"/>
      <c r="F294" s="126"/>
      <c r="G294" s="127">
        <v>15.8284</v>
      </c>
      <c r="H294" s="128" t="str">
        <f t="shared" si="11"/>
        <v>CZK</v>
      </c>
      <c r="I294" s="129"/>
      <c r="J294" s="130" t="s">
        <v>27</v>
      </c>
      <c r="L294" s="75">
        <f>G294*(1-'FORM-I'!$V$22/100)</f>
        <v>15.8284</v>
      </c>
      <c r="N294" s="11" t="e">
        <f>VLOOKUP(B294,$B$11:B293,1,FALSE)</f>
        <v>#N/A</v>
      </c>
    </row>
    <row r="295" spans="1:14">
      <c r="A295" s="112"/>
      <c r="B295" s="122">
        <v>9255220</v>
      </c>
      <c r="C295" s="123" t="s">
        <v>402</v>
      </c>
      <c r="D295" s="124">
        <v>10</v>
      </c>
      <c r="E295" s="125"/>
      <c r="F295" s="126"/>
      <c r="G295" s="127">
        <v>16.361999999999998</v>
      </c>
      <c r="H295" s="128" t="str">
        <f t="shared" si="11"/>
        <v>CZK</v>
      </c>
      <c r="I295" s="129"/>
      <c r="J295" s="130" t="s">
        <v>27</v>
      </c>
      <c r="L295" s="75">
        <f>G295*(1-'FORM-I'!$V$22/100)</f>
        <v>16.361999999999998</v>
      </c>
      <c r="N295" s="11" t="e">
        <f>VLOOKUP(B295,$B$11:B294,1,FALSE)</f>
        <v>#N/A</v>
      </c>
    </row>
    <row r="296" spans="1:14">
      <c r="A296" s="112"/>
      <c r="B296" s="165">
        <v>9255221</v>
      </c>
      <c r="C296" s="166" t="s">
        <v>403</v>
      </c>
      <c r="D296" s="167">
        <v>10</v>
      </c>
      <c r="E296" s="168"/>
      <c r="F296" s="169"/>
      <c r="G296" s="170">
        <v>16.361999999999998</v>
      </c>
      <c r="H296" s="171" t="str">
        <f t="shared" si="11"/>
        <v>CZK</v>
      </c>
      <c r="I296" s="172"/>
      <c r="J296" s="173" t="s">
        <v>27</v>
      </c>
      <c r="L296" s="75">
        <f>G296*(1-'FORM-I'!$V$22/100)</f>
        <v>16.361999999999998</v>
      </c>
      <c r="N296" s="11" t="e">
        <f>VLOOKUP(B296,$B$11:B295,1,FALSE)</f>
        <v>#N/A</v>
      </c>
    </row>
    <row r="297" spans="1:14">
      <c r="B297" s="156">
        <v>9255838</v>
      </c>
      <c r="C297" s="157" t="s">
        <v>404</v>
      </c>
      <c r="D297" s="158">
        <v>200</v>
      </c>
      <c r="E297" s="159"/>
      <c r="F297" s="160"/>
      <c r="G297" s="161">
        <v>2.5282</v>
      </c>
      <c r="H297" s="162" t="str">
        <f t="shared" si="11"/>
        <v>CZK</v>
      </c>
      <c r="I297" s="163"/>
      <c r="J297" s="164" t="s">
        <v>27</v>
      </c>
      <c r="L297" s="75">
        <f>G297*(1-'FORM-I'!$V$22/100)</f>
        <v>2.5282</v>
      </c>
      <c r="N297" s="11" t="e">
        <f>VLOOKUP(B297,$B$11:B296,1,FALSE)</f>
        <v>#N/A</v>
      </c>
    </row>
    <row r="298" spans="1:14">
      <c r="B298" s="165">
        <v>9255839</v>
      </c>
      <c r="C298" s="166" t="s">
        <v>405</v>
      </c>
      <c r="D298" s="167">
        <v>200</v>
      </c>
      <c r="E298" s="168"/>
      <c r="F298" s="169"/>
      <c r="G298" s="170">
        <v>2.5592999999999999</v>
      </c>
      <c r="H298" s="171" t="str">
        <f t="shared" si="11"/>
        <v>CZK</v>
      </c>
      <c r="I298" s="172"/>
      <c r="J298" s="173" t="s">
        <v>27</v>
      </c>
      <c r="L298" s="75">
        <f>G298*(1-'FORM-I'!$V$22/100)</f>
        <v>2.5592999999999999</v>
      </c>
      <c r="N298" s="11" t="e">
        <f>VLOOKUP(B298,$B$11:B297,1,FALSE)</f>
        <v>#N/A</v>
      </c>
    </row>
    <row r="299" spans="1:14">
      <c r="B299" s="165"/>
      <c r="C299" s="166"/>
      <c r="D299" s="167"/>
      <c r="E299" s="168"/>
      <c r="F299" s="169"/>
      <c r="G299" s="170"/>
      <c r="H299" s="171"/>
      <c r="I299" s="172"/>
      <c r="J299" s="173" t="s">
        <v>27</v>
      </c>
      <c r="L299" s="75">
        <f>G299*(1-'FORM-I'!$V$22/100)</f>
        <v>0</v>
      </c>
      <c r="N299" s="11" t="e">
        <f>VLOOKUP(B299,$B$11:B298,1,FALSE)</f>
        <v>#N/A</v>
      </c>
    </row>
    <row r="300" spans="1:14">
      <c r="A300" s="67"/>
      <c r="B300" s="156">
        <v>9255273</v>
      </c>
      <c r="C300" s="157" t="s">
        <v>406</v>
      </c>
      <c r="D300" s="158">
        <v>1</v>
      </c>
      <c r="E300" s="159"/>
      <c r="F300" s="160"/>
      <c r="G300" s="161">
        <v>58.535400000000003</v>
      </c>
      <c r="H300" s="162" t="str">
        <f t="shared" ref="H300:H320" si="12">IF(G300="","",$H$10)</f>
        <v>CZK</v>
      </c>
      <c r="I300" s="163"/>
      <c r="J300" s="164" t="s">
        <v>27</v>
      </c>
      <c r="L300" s="75">
        <f>G300*(1-'FORM-I'!$V$22/100)</f>
        <v>58.535400000000003</v>
      </c>
      <c r="N300" s="11" t="e">
        <f>VLOOKUP(B300,$B$11:B299,1,FALSE)</f>
        <v>#N/A</v>
      </c>
    </row>
    <row r="301" spans="1:14">
      <c r="A301" s="67"/>
      <c r="B301" s="122">
        <v>9255274</v>
      </c>
      <c r="C301" s="123" t="s">
        <v>407</v>
      </c>
      <c r="D301" s="124">
        <v>1</v>
      </c>
      <c r="E301" s="125"/>
      <c r="F301" s="126"/>
      <c r="G301" s="127">
        <v>59.370800000000003</v>
      </c>
      <c r="H301" s="128" t="str">
        <f t="shared" si="12"/>
        <v>CZK</v>
      </c>
      <c r="I301" s="129"/>
      <c r="J301" s="130" t="s">
        <v>27</v>
      </c>
      <c r="L301" s="75">
        <f>G301*(1-'FORM-I'!$V$22/100)</f>
        <v>59.370800000000003</v>
      </c>
      <c r="N301" s="11" t="e">
        <f>VLOOKUP(B301,$B$11:B300,1,FALSE)</f>
        <v>#N/A</v>
      </c>
    </row>
    <row r="302" spans="1:14">
      <c r="A302" s="67"/>
      <c r="B302" s="122">
        <v>9255275</v>
      </c>
      <c r="C302" s="123" t="s">
        <v>408</v>
      </c>
      <c r="D302" s="124">
        <v>1</v>
      </c>
      <c r="E302" s="125"/>
      <c r="F302" s="126"/>
      <c r="G302" s="127">
        <v>60.206099999999999</v>
      </c>
      <c r="H302" s="128" t="str">
        <f t="shared" si="12"/>
        <v>CZK</v>
      </c>
      <c r="I302" s="129"/>
      <c r="J302" s="130" t="s">
        <v>27</v>
      </c>
      <c r="L302" s="75">
        <f>G302*(1-'FORM-I'!$V$22/100)</f>
        <v>60.206099999999999</v>
      </c>
      <c r="N302" s="11" t="e">
        <f>VLOOKUP(B302,$B$11:B301,1,FALSE)</f>
        <v>#N/A</v>
      </c>
    </row>
    <row r="303" spans="1:14">
      <c r="A303" s="67"/>
      <c r="B303" s="122">
        <v>9255276</v>
      </c>
      <c r="C303" s="123" t="s">
        <v>409</v>
      </c>
      <c r="D303" s="124">
        <v>1</v>
      </c>
      <c r="E303" s="125"/>
      <c r="F303" s="126"/>
      <c r="G303" s="127">
        <v>61.041499999999999</v>
      </c>
      <c r="H303" s="128" t="str">
        <f t="shared" si="12"/>
        <v>CZK</v>
      </c>
      <c r="I303" s="129"/>
      <c r="J303" s="130" t="s">
        <v>27</v>
      </c>
      <c r="L303" s="75">
        <f>G303*(1-'FORM-I'!$V$22/100)</f>
        <v>61.041499999999999</v>
      </c>
      <c r="N303" s="11" t="e">
        <f>VLOOKUP(B303,$B$11:B302,1,FALSE)</f>
        <v>#N/A</v>
      </c>
    </row>
    <row r="304" spans="1:14">
      <c r="A304" s="67"/>
      <c r="B304" s="122">
        <v>9255277</v>
      </c>
      <c r="C304" s="123" t="s">
        <v>410</v>
      </c>
      <c r="D304" s="124">
        <v>1</v>
      </c>
      <c r="E304" s="125"/>
      <c r="F304" s="126"/>
      <c r="G304" s="127">
        <v>61.876899999999999</v>
      </c>
      <c r="H304" s="128" t="str">
        <f t="shared" si="12"/>
        <v>CZK</v>
      </c>
      <c r="I304" s="129"/>
      <c r="J304" s="130" t="s">
        <v>27</v>
      </c>
      <c r="L304" s="75">
        <f>G304*(1-'FORM-I'!$V$22/100)</f>
        <v>61.876899999999999</v>
      </c>
      <c r="N304" s="11" t="e">
        <f>VLOOKUP(B304,$B$11:B303,1,FALSE)</f>
        <v>#N/A</v>
      </c>
    </row>
    <row r="305" spans="1:14">
      <c r="A305" s="67"/>
      <c r="B305" s="122">
        <v>9255278</v>
      </c>
      <c r="C305" s="123" t="s">
        <v>411</v>
      </c>
      <c r="D305" s="124">
        <v>1</v>
      </c>
      <c r="E305" s="125"/>
      <c r="F305" s="126"/>
      <c r="G305" s="127">
        <v>63.137099999999997</v>
      </c>
      <c r="H305" s="128" t="str">
        <f t="shared" si="12"/>
        <v>CZK</v>
      </c>
      <c r="I305" s="129"/>
      <c r="J305" s="130" t="s">
        <v>27</v>
      </c>
      <c r="L305" s="75">
        <f>G305*(1-'FORM-I'!$V$22/100)</f>
        <v>63.137099999999997</v>
      </c>
      <c r="N305" s="11" t="e">
        <f>VLOOKUP(B305,$B$11:B304,1,FALSE)</f>
        <v>#N/A</v>
      </c>
    </row>
    <row r="306" spans="1:14">
      <c r="A306" s="67"/>
      <c r="B306" s="165">
        <v>9255279</v>
      </c>
      <c r="C306" s="166" t="s">
        <v>412</v>
      </c>
      <c r="D306" s="167">
        <v>1</v>
      </c>
      <c r="E306" s="168"/>
      <c r="F306" s="169"/>
      <c r="G306" s="170">
        <v>64.8506</v>
      </c>
      <c r="H306" s="171" t="str">
        <f t="shared" si="12"/>
        <v>CZK</v>
      </c>
      <c r="I306" s="172"/>
      <c r="J306" s="173" t="s">
        <v>27</v>
      </c>
      <c r="L306" s="75">
        <f>G306*(1-'FORM-I'!$V$22/100)</f>
        <v>64.8506</v>
      </c>
      <c r="N306" s="11" t="e">
        <f>VLOOKUP(B306,$B$11:B305,1,FALSE)</f>
        <v>#N/A</v>
      </c>
    </row>
    <row r="307" spans="1:14">
      <c r="A307" s="102"/>
      <c r="B307" s="156">
        <v>9255313</v>
      </c>
      <c r="C307" s="157" t="s">
        <v>413</v>
      </c>
      <c r="D307" s="158">
        <v>1</v>
      </c>
      <c r="E307" s="159"/>
      <c r="F307" s="160"/>
      <c r="G307" s="161">
        <v>58.535400000000003</v>
      </c>
      <c r="H307" s="162" t="str">
        <f t="shared" si="12"/>
        <v>CZK</v>
      </c>
      <c r="I307" s="163"/>
      <c r="J307" s="164" t="s">
        <v>27</v>
      </c>
      <c r="L307" s="75">
        <f>G307*(1-'FORM-I'!$V$22/100)</f>
        <v>58.535400000000003</v>
      </c>
      <c r="N307" s="11" t="e">
        <f>VLOOKUP(B307,$B$11:B306,1,FALSE)</f>
        <v>#N/A</v>
      </c>
    </row>
    <row r="308" spans="1:14">
      <c r="A308" s="102"/>
      <c r="B308" s="122">
        <v>9255314</v>
      </c>
      <c r="C308" s="123" t="s">
        <v>414</v>
      </c>
      <c r="D308" s="124">
        <v>1</v>
      </c>
      <c r="E308" s="125"/>
      <c r="F308" s="126"/>
      <c r="G308" s="127">
        <v>59.370800000000003</v>
      </c>
      <c r="H308" s="128" t="str">
        <f t="shared" si="12"/>
        <v>CZK</v>
      </c>
      <c r="I308" s="129"/>
      <c r="J308" s="130" t="s">
        <v>27</v>
      </c>
      <c r="L308" s="75">
        <f>G308*(1-'FORM-I'!$V$22/100)</f>
        <v>59.370800000000003</v>
      </c>
      <c r="N308" s="11" t="e">
        <f>VLOOKUP(B308,$B$11:B307,1,FALSE)</f>
        <v>#N/A</v>
      </c>
    </row>
    <row r="309" spans="1:14">
      <c r="A309" s="102"/>
      <c r="B309" s="122">
        <v>9255315</v>
      </c>
      <c r="C309" s="123" t="s">
        <v>415</v>
      </c>
      <c r="D309" s="124">
        <v>1</v>
      </c>
      <c r="E309" s="125"/>
      <c r="F309" s="126"/>
      <c r="G309" s="127">
        <v>60.206099999999999</v>
      </c>
      <c r="H309" s="128" t="str">
        <f t="shared" si="12"/>
        <v>CZK</v>
      </c>
      <c r="I309" s="129"/>
      <c r="J309" s="130" t="s">
        <v>27</v>
      </c>
      <c r="L309" s="75">
        <f>G309*(1-'FORM-I'!$V$22/100)</f>
        <v>60.206099999999999</v>
      </c>
      <c r="N309" s="11" t="e">
        <f>VLOOKUP(B309,$B$11:B308,1,FALSE)</f>
        <v>#N/A</v>
      </c>
    </row>
    <row r="310" spans="1:14">
      <c r="A310" s="102"/>
      <c r="B310" s="122">
        <v>9255316</v>
      </c>
      <c r="C310" s="123" t="s">
        <v>416</v>
      </c>
      <c r="D310" s="124">
        <v>1</v>
      </c>
      <c r="E310" s="125"/>
      <c r="F310" s="126"/>
      <c r="G310" s="127">
        <v>61.041499999999999</v>
      </c>
      <c r="H310" s="128" t="str">
        <f t="shared" si="12"/>
        <v>CZK</v>
      </c>
      <c r="I310" s="129"/>
      <c r="J310" s="130" t="s">
        <v>27</v>
      </c>
      <c r="L310" s="75">
        <f>G310*(1-'FORM-I'!$V$22/100)</f>
        <v>61.041499999999999</v>
      </c>
      <c r="N310" s="11" t="e">
        <f>VLOOKUP(B310,$B$11:B309,1,FALSE)</f>
        <v>#N/A</v>
      </c>
    </row>
    <row r="311" spans="1:14">
      <c r="A311" s="102"/>
      <c r="B311" s="122">
        <v>9255317</v>
      </c>
      <c r="C311" s="123" t="s">
        <v>417</v>
      </c>
      <c r="D311" s="124">
        <v>1</v>
      </c>
      <c r="E311" s="125"/>
      <c r="F311" s="126"/>
      <c r="G311" s="127">
        <v>61.876899999999999</v>
      </c>
      <c r="H311" s="128" t="str">
        <f t="shared" si="12"/>
        <v>CZK</v>
      </c>
      <c r="I311" s="129"/>
      <c r="J311" s="130" t="s">
        <v>27</v>
      </c>
      <c r="L311" s="75">
        <f>G311*(1-'FORM-I'!$V$22/100)</f>
        <v>61.876899999999999</v>
      </c>
      <c r="N311" s="11" t="e">
        <f>VLOOKUP(B311,$B$11:B310,1,FALSE)</f>
        <v>#N/A</v>
      </c>
    </row>
    <row r="312" spans="1:14">
      <c r="A312" s="102"/>
      <c r="B312" s="122">
        <v>9255318</v>
      </c>
      <c r="C312" s="123" t="s">
        <v>418</v>
      </c>
      <c r="D312" s="124">
        <v>1</v>
      </c>
      <c r="E312" s="125"/>
      <c r="F312" s="126"/>
      <c r="G312" s="127">
        <v>63.137099999999997</v>
      </c>
      <c r="H312" s="128" t="str">
        <f t="shared" si="12"/>
        <v>CZK</v>
      </c>
      <c r="I312" s="129"/>
      <c r="J312" s="130" t="s">
        <v>27</v>
      </c>
      <c r="L312" s="75">
        <f>G312*(1-'FORM-I'!$V$22/100)</f>
        <v>63.137099999999997</v>
      </c>
      <c r="N312" s="11" t="e">
        <f>VLOOKUP(B312,$B$11:B311,1,FALSE)</f>
        <v>#N/A</v>
      </c>
    </row>
    <row r="313" spans="1:14">
      <c r="A313" s="102"/>
      <c r="B313" s="165">
        <v>9255319</v>
      </c>
      <c r="C313" s="166" t="s">
        <v>419</v>
      </c>
      <c r="D313" s="167">
        <v>1</v>
      </c>
      <c r="E313" s="168"/>
      <c r="F313" s="169"/>
      <c r="G313" s="170">
        <v>64.8506</v>
      </c>
      <c r="H313" s="171" t="str">
        <f t="shared" si="12"/>
        <v>CZK</v>
      </c>
      <c r="I313" s="172"/>
      <c r="J313" s="173" t="s">
        <v>27</v>
      </c>
      <c r="L313" s="75">
        <f>G313*(1-'FORM-I'!$V$22/100)</f>
        <v>64.8506</v>
      </c>
      <c r="N313" s="11" t="e">
        <f>VLOOKUP(B313,$B$11:B312,1,FALSE)</f>
        <v>#N/A</v>
      </c>
    </row>
    <row r="314" spans="1:14">
      <c r="A314" s="112"/>
      <c r="B314" s="156">
        <v>9255353</v>
      </c>
      <c r="C314" s="157" t="s">
        <v>420</v>
      </c>
      <c r="D314" s="158">
        <v>1</v>
      </c>
      <c r="E314" s="159"/>
      <c r="F314" s="160"/>
      <c r="G314" s="161">
        <v>58.535400000000003</v>
      </c>
      <c r="H314" s="162" t="str">
        <f t="shared" si="12"/>
        <v>CZK</v>
      </c>
      <c r="I314" s="163"/>
      <c r="J314" s="164" t="s">
        <v>27</v>
      </c>
      <c r="L314" s="75">
        <f>G314*(1-'FORM-I'!$V$22/100)</f>
        <v>58.535400000000003</v>
      </c>
      <c r="N314" s="11" t="e">
        <f>VLOOKUP(B314,$B$11:B313,1,FALSE)</f>
        <v>#N/A</v>
      </c>
    </row>
    <row r="315" spans="1:14">
      <c r="A315" s="112"/>
      <c r="B315" s="122">
        <v>9255354</v>
      </c>
      <c r="C315" s="123" t="s">
        <v>421</v>
      </c>
      <c r="D315" s="124">
        <v>1</v>
      </c>
      <c r="E315" s="125"/>
      <c r="F315" s="126"/>
      <c r="G315" s="127">
        <v>59.370800000000003</v>
      </c>
      <c r="H315" s="128" t="str">
        <f t="shared" si="12"/>
        <v>CZK</v>
      </c>
      <c r="I315" s="129"/>
      <c r="J315" s="130" t="s">
        <v>27</v>
      </c>
      <c r="L315" s="75">
        <f>G315*(1-'FORM-I'!$V$22/100)</f>
        <v>59.370800000000003</v>
      </c>
      <c r="N315" s="11" t="e">
        <f>VLOOKUP(B315,$B$11:B314,1,FALSE)</f>
        <v>#N/A</v>
      </c>
    </row>
    <row r="316" spans="1:14">
      <c r="A316" s="112"/>
      <c r="B316" s="122">
        <v>9255355</v>
      </c>
      <c r="C316" s="123" t="s">
        <v>422</v>
      </c>
      <c r="D316" s="124">
        <v>1</v>
      </c>
      <c r="E316" s="125"/>
      <c r="F316" s="126"/>
      <c r="G316" s="127">
        <v>60.206099999999999</v>
      </c>
      <c r="H316" s="128" t="str">
        <f t="shared" si="12"/>
        <v>CZK</v>
      </c>
      <c r="I316" s="129"/>
      <c r="J316" s="130" t="s">
        <v>27</v>
      </c>
      <c r="L316" s="75">
        <f>G316*(1-'FORM-I'!$V$22/100)</f>
        <v>60.206099999999999</v>
      </c>
      <c r="N316" s="11" t="e">
        <f>VLOOKUP(B316,$B$11:B315,1,FALSE)</f>
        <v>#N/A</v>
      </c>
    </row>
    <row r="317" spans="1:14">
      <c r="A317" s="112"/>
      <c r="B317" s="122">
        <v>9255356</v>
      </c>
      <c r="C317" s="123" t="s">
        <v>423</v>
      </c>
      <c r="D317" s="124">
        <v>1</v>
      </c>
      <c r="E317" s="125"/>
      <c r="F317" s="126"/>
      <c r="G317" s="127">
        <v>61.041499999999999</v>
      </c>
      <c r="H317" s="128" t="str">
        <f t="shared" si="12"/>
        <v>CZK</v>
      </c>
      <c r="I317" s="129"/>
      <c r="J317" s="130" t="s">
        <v>27</v>
      </c>
      <c r="L317" s="75">
        <f>G317*(1-'FORM-I'!$V$22/100)</f>
        <v>61.041499999999999</v>
      </c>
      <c r="N317" s="11" t="e">
        <f>VLOOKUP(B317,$B$11:B316,1,FALSE)</f>
        <v>#N/A</v>
      </c>
    </row>
    <row r="318" spans="1:14">
      <c r="A318" s="112"/>
      <c r="B318" s="122">
        <v>9255357</v>
      </c>
      <c r="C318" s="123" t="s">
        <v>424</v>
      </c>
      <c r="D318" s="124">
        <v>1</v>
      </c>
      <c r="E318" s="125"/>
      <c r="F318" s="126"/>
      <c r="G318" s="127">
        <v>61.876899999999999</v>
      </c>
      <c r="H318" s="128" t="str">
        <f t="shared" si="12"/>
        <v>CZK</v>
      </c>
      <c r="I318" s="129"/>
      <c r="J318" s="130" t="s">
        <v>27</v>
      </c>
      <c r="L318" s="75">
        <f>G318*(1-'FORM-I'!$V$22/100)</f>
        <v>61.876899999999999</v>
      </c>
      <c r="N318" s="11" t="e">
        <f>VLOOKUP(B318,$B$11:B317,1,FALSE)</f>
        <v>#N/A</v>
      </c>
    </row>
    <row r="319" spans="1:14">
      <c r="A319" s="112"/>
      <c r="B319" s="122">
        <v>9255358</v>
      </c>
      <c r="C319" s="123" t="s">
        <v>425</v>
      </c>
      <c r="D319" s="124">
        <v>1</v>
      </c>
      <c r="E319" s="125"/>
      <c r="F319" s="126"/>
      <c r="G319" s="127">
        <v>63.137099999999997</v>
      </c>
      <c r="H319" s="128" t="str">
        <f t="shared" si="12"/>
        <v>CZK</v>
      </c>
      <c r="I319" s="129"/>
      <c r="J319" s="130" t="s">
        <v>27</v>
      </c>
      <c r="L319" s="75">
        <f>G319*(1-'FORM-I'!$V$22/100)</f>
        <v>63.137099999999997</v>
      </c>
      <c r="N319" s="11" t="e">
        <f>VLOOKUP(B319,$B$11:B318,1,FALSE)</f>
        <v>#N/A</v>
      </c>
    </row>
    <row r="320" spans="1:14">
      <c r="A320" s="112"/>
      <c r="B320" s="165">
        <v>9255359</v>
      </c>
      <c r="C320" s="166" t="s">
        <v>426</v>
      </c>
      <c r="D320" s="167">
        <v>1</v>
      </c>
      <c r="E320" s="168"/>
      <c r="F320" s="169"/>
      <c r="G320" s="170">
        <v>64.8506</v>
      </c>
      <c r="H320" s="171" t="str">
        <f t="shared" si="12"/>
        <v>CZK</v>
      </c>
      <c r="I320" s="172"/>
      <c r="J320" s="173" t="s">
        <v>27</v>
      </c>
      <c r="L320" s="75">
        <f>G320*(1-'FORM-I'!$V$22/100)</f>
        <v>64.8506</v>
      </c>
      <c r="N320" s="11" t="e">
        <f>VLOOKUP(B320,$B$11:B319,1,FALSE)</f>
        <v>#N/A</v>
      </c>
    </row>
    <row r="321" spans="1:14">
      <c r="A321" s="67"/>
      <c r="B321" s="122">
        <v>9255066</v>
      </c>
      <c r="C321" s="123" t="s">
        <v>427</v>
      </c>
      <c r="D321" s="124">
        <v>10</v>
      </c>
      <c r="E321" s="125"/>
      <c r="F321" s="126"/>
      <c r="G321" s="127">
        <v>22.662400000000002</v>
      </c>
      <c r="H321" s="128" t="str">
        <f>IF(G321="","",$H$10)</f>
        <v>CZK</v>
      </c>
      <c r="I321" s="129"/>
      <c r="J321" s="130" t="s">
        <v>27</v>
      </c>
      <c r="L321" s="75">
        <f>G321*(1-'FORM-I'!$V$22/100)</f>
        <v>22.662400000000002</v>
      </c>
      <c r="N321" s="11" t="e">
        <f>VLOOKUP(B321,$B$11:B320,1,FALSE)</f>
        <v>#N/A</v>
      </c>
    </row>
    <row r="322" spans="1:14">
      <c r="A322" s="67"/>
      <c r="B322" s="122">
        <v>9255067</v>
      </c>
      <c r="C322" s="123" t="s">
        <v>428</v>
      </c>
      <c r="D322" s="124">
        <v>10</v>
      </c>
      <c r="E322" s="125"/>
      <c r="F322" s="126"/>
      <c r="G322" s="127">
        <v>22.662400000000002</v>
      </c>
      <c r="H322" s="128" t="str">
        <f>IF(G322="","",$H$10)</f>
        <v>CZK</v>
      </c>
      <c r="I322" s="129"/>
      <c r="J322" s="130" t="s">
        <v>27</v>
      </c>
      <c r="L322" s="75">
        <f>G322*(1-'FORM-I'!$V$22/100)</f>
        <v>22.662400000000002</v>
      </c>
      <c r="N322" s="11" t="e">
        <f>VLOOKUP(B322,$B$11:B321,1,FALSE)</f>
        <v>#N/A</v>
      </c>
    </row>
    <row r="323" spans="1:14">
      <c r="A323" s="67"/>
      <c r="B323" s="122">
        <v>9255068</v>
      </c>
      <c r="C323" s="123" t="s">
        <v>429</v>
      </c>
      <c r="D323" s="124">
        <v>10</v>
      </c>
      <c r="E323" s="125"/>
      <c r="F323" s="126"/>
      <c r="G323" s="127">
        <v>23.071999999999999</v>
      </c>
      <c r="H323" s="128" t="str">
        <f>IF(G323="","",$H$10)</f>
        <v>CZK</v>
      </c>
      <c r="I323" s="129"/>
      <c r="J323" s="130" t="s">
        <v>27</v>
      </c>
      <c r="L323" s="75">
        <f>G323*(1-'FORM-I'!$V$22/100)</f>
        <v>23.071999999999999</v>
      </c>
      <c r="N323" s="11" t="e">
        <f>VLOOKUP(B323,$B$11:B322,1,FALSE)</f>
        <v>#N/A</v>
      </c>
    </row>
    <row r="324" spans="1:14">
      <c r="A324" s="67"/>
      <c r="B324" s="122">
        <v>9255069</v>
      </c>
      <c r="C324" s="123" t="s">
        <v>430</v>
      </c>
      <c r="D324" s="124">
        <v>10</v>
      </c>
      <c r="E324" s="125"/>
      <c r="F324" s="126"/>
      <c r="G324" s="127">
        <v>23.071999999999999</v>
      </c>
      <c r="H324" s="128" t="str">
        <f t="shared" ref="H324:H329" si="13">IF(G324="","",$H$10)</f>
        <v>CZK</v>
      </c>
      <c r="I324" s="129"/>
      <c r="J324" s="130" t="s">
        <v>27</v>
      </c>
      <c r="L324" s="75">
        <f>G324*(1-'FORM-I'!$V$22/100)</f>
        <v>23.071999999999999</v>
      </c>
      <c r="N324" s="11" t="e">
        <f>VLOOKUP(B324,$B$11:B323,1,FALSE)</f>
        <v>#N/A</v>
      </c>
    </row>
    <row r="325" spans="1:14">
      <c r="A325" s="67"/>
      <c r="B325" s="122">
        <v>9255070</v>
      </c>
      <c r="C325" s="123" t="s">
        <v>431</v>
      </c>
      <c r="D325" s="124">
        <v>10</v>
      </c>
      <c r="E325" s="125"/>
      <c r="F325" s="126"/>
      <c r="G325" s="127">
        <v>23.4816</v>
      </c>
      <c r="H325" s="128" t="str">
        <f t="shared" si="13"/>
        <v>CZK</v>
      </c>
      <c r="I325" s="129"/>
      <c r="J325" s="130" t="s">
        <v>27</v>
      </c>
      <c r="L325" s="75">
        <f>G325*(1-'FORM-I'!$V$22/100)</f>
        <v>23.4816</v>
      </c>
      <c r="N325" s="11" t="e">
        <f>VLOOKUP(B325,$B$11:B324,1,FALSE)</f>
        <v>#N/A</v>
      </c>
    </row>
    <row r="326" spans="1:14">
      <c r="A326" s="67"/>
      <c r="B326" s="122">
        <v>9255071</v>
      </c>
      <c r="C326" s="123" t="s">
        <v>432</v>
      </c>
      <c r="D326" s="124">
        <v>10</v>
      </c>
      <c r="E326" s="125"/>
      <c r="F326" s="126"/>
      <c r="G326" s="127">
        <v>23.4816</v>
      </c>
      <c r="H326" s="128" t="str">
        <f t="shared" si="13"/>
        <v>CZK</v>
      </c>
      <c r="I326" s="129"/>
      <c r="J326" s="130" t="s">
        <v>27</v>
      </c>
      <c r="L326" s="75">
        <f>G326*(1-'FORM-I'!$V$22/100)</f>
        <v>23.4816</v>
      </c>
      <c r="N326" s="11" t="e">
        <f>VLOOKUP(B326,$B$11:B325,1,FALSE)</f>
        <v>#N/A</v>
      </c>
    </row>
    <row r="327" spans="1:14">
      <c r="A327" s="67"/>
      <c r="B327" s="122">
        <v>9255072</v>
      </c>
      <c r="C327" s="123" t="s">
        <v>433</v>
      </c>
      <c r="D327" s="124">
        <v>10</v>
      </c>
      <c r="E327" s="125"/>
      <c r="F327" s="126"/>
      <c r="G327" s="127">
        <v>23.891200000000001</v>
      </c>
      <c r="H327" s="128" t="str">
        <f t="shared" si="13"/>
        <v>CZK</v>
      </c>
      <c r="I327" s="129"/>
      <c r="J327" s="130" t="s">
        <v>27</v>
      </c>
      <c r="L327" s="75">
        <f>G327*(1-'FORM-I'!$V$22/100)</f>
        <v>23.891200000000001</v>
      </c>
      <c r="N327" s="11" t="e">
        <f>VLOOKUP(B327,$B$11:B326,1,FALSE)</f>
        <v>#N/A</v>
      </c>
    </row>
    <row r="328" spans="1:14">
      <c r="A328" s="67"/>
      <c r="B328" s="122">
        <v>9255073</v>
      </c>
      <c r="C328" s="123" t="s">
        <v>434</v>
      </c>
      <c r="D328" s="124">
        <v>10</v>
      </c>
      <c r="E328" s="125"/>
      <c r="F328" s="126"/>
      <c r="G328" s="127">
        <v>23.891200000000001</v>
      </c>
      <c r="H328" s="128" t="str">
        <f t="shared" si="13"/>
        <v>CZK</v>
      </c>
      <c r="I328" s="129"/>
      <c r="J328" s="130" t="s">
        <v>27</v>
      </c>
      <c r="L328" s="75">
        <f>G328*(1-'FORM-I'!$V$22/100)</f>
        <v>23.891200000000001</v>
      </c>
      <c r="N328" s="11" t="e">
        <f>VLOOKUP(B328,$B$11:B327,1,FALSE)</f>
        <v>#N/A</v>
      </c>
    </row>
    <row r="329" spans="1:14">
      <c r="A329" s="67"/>
      <c r="B329" s="122">
        <v>9255074</v>
      </c>
      <c r="C329" s="123" t="s">
        <v>435</v>
      </c>
      <c r="D329" s="124">
        <v>10</v>
      </c>
      <c r="E329" s="125"/>
      <c r="F329" s="126"/>
      <c r="G329" s="127">
        <v>24.300799999999999</v>
      </c>
      <c r="H329" s="128" t="str">
        <f t="shared" si="13"/>
        <v>CZK</v>
      </c>
      <c r="I329" s="129"/>
      <c r="J329" s="130" t="s">
        <v>27</v>
      </c>
      <c r="L329" s="75">
        <f>G329*(1-'FORM-I'!$V$22/100)</f>
        <v>24.300799999999999</v>
      </c>
      <c r="N329" s="11" t="e">
        <f>VLOOKUP(B329,$B$11:B328,1,FALSE)</f>
        <v>#N/A</v>
      </c>
    </row>
    <row r="330" spans="1:14">
      <c r="A330" s="67"/>
      <c r="B330" s="122">
        <v>9255075</v>
      </c>
      <c r="C330" s="123" t="s">
        <v>436</v>
      </c>
      <c r="D330" s="124">
        <v>10</v>
      </c>
      <c r="E330" s="125"/>
      <c r="F330" s="126"/>
      <c r="G330" s="127">
        <v>24.300799999999999</v>
      </c>
      <c r="H330" s="128" t="str">
        <f>IF(G330="","",$H$10)</f>
        <v>CZK</v>
      </c>
      <c r="I330" s="129"/>
      <c r="J330" s="130" t="s">
        <v>27</v>
      </c>
      <c r="L330" s="75">
        <f>G330*(1-'FORM-I'!$V$22/100)</f>
        <v>24.300799999999999</v>
      </c>
      <c r="N330" s="11" t="e">
        <f>VLOOKUP(B330,$B$11:B329,1,FALSE)</f>
        <v>#N/A</v>
      </c>
    </row>
    <row r="331" spans="1:14">
      <c r="A331" s="67"/>
      <c r="B331" s="122">
        <v>9255076</v>
      </c>
      <c r="C331" s="123" t="s">
        <v>437</v>
      </c>
      <c r="D331" s="124">
        <v>10</v>
      </c>
      <c r="E331" s="125"/>
      <c r="F331" s="126"/>
      <c r="G331" s="127">
        <v>24.918700000000001</v>
      </c>
      <c r="H331" s="128" t="str">
        <f>IF(G331="","",$H$10)</f>
        <v>CZK</v>
      </c>
      <c r="I331" s="129"/>
      <c r="J331" s="130" t="s">
        <v>27</v>
      </c>
      <c r="L331" s="75">
        <f>G331*(1-'FORM-I'!$V$22/100)</f>
        <v>24.918700000000001</v>
      </c>
      <c r="N331" s="11" t="e">
        <f>VLOOKUP(B331,$B$11:B330,1,FALSE)</f>
        <v>#N/A</v>
      </c>
    </row>
    <row r="332" spans="1:14">
      <c r="A332" s="67"/>
      <c r="B332" s="122">
        <v>9255077</v>
      </c>
      <c r="C332" s="123" t="s">
        <v>438</v>
      </c>
      <c r="D332" s="124">
        <v>10</v>
      </c>
      <c r="E332" s="125"/>
      <c r="F332" s="126"/>
      <c r="G332" s="127">
        <v>24.918700000000001</v>
      </c>
      <c r="H332" s="128" t="str">
        <f t="shared" ref="H332:H364" si="14">IF(G332="","",$H$10)</f>
        <v>CZK</v>
      </c>
      <c r="I332" s="129"/>
      <c r="J332" s="130" t="s">
        <v>27</v>
      </c>
      <c r="L332" s="75">
        <f>G332*(1-'FORM-I'!$V$22/100)</f>
        <v>24.918700000000001</v>
      </c>
      <c r="N332" s="11" t="e">
        <f>VLOOKUP(B332,$B$11:B331,1,FALSE)</f>
        <v>#N/A</v>
      </c>
    </row>
    <row r="333" spans="1:14">
      <c r="A333" s="67"/>
      <c r="B333" s="122">
        <v>9255078</v>
      </c>
      <c r="C333" s="123" t="s">
        <v>439</v>
      </c>
      <c r="D333" s="124">
        <v>10</v>
      </c>
      <c r="E333" s="125"/>
      <c r="F333" s="126"/>
      <c r="G333" s="127">
        <v>25.758500000000002</v>
      </c>
      <c r="H333" s="128" t="str">
        <f t="shared" si="14"/>
        <v>CZK</v>
      </c>
      <c r="I333" s="129"/>
      <c r="J333" s="130" t="s">
        <v>27</v>
      </c>
      <c r="L333" s="75">
        <f>G333*(1-'FORM-I'!$V$22/100)</f>
        <v>25.758500000000002</v>
      </c>
      <c r="N333" s="11" t="e">
        <f>VLOOKUP(B333,$B$11:B332,1,FALSE)</f>
        <v>#N/A</v>
      </c>
    </row>
    <row r="334" spans="1:14">
      <c r="A334" s="67"/>
      <c r="B334" s="165">
        <v>9255079</v>
      </c>
      <c r="C334" s="166" t="s">
        <v>440</v>
      </c>
      <c r="D334" s="167">
        <v>10</v>
      </c>
      <c r="E334" s="168"/>
      <c r="F334" s="169"/>
      <c r="G334" s="170">
        <v>25.758500000000002</v>
      </c>
      <c r="H334" s="171" t="str">
        <f t="shared" si="14"/>
        <v>CZK</v>
      </c>
      <c r="I334" s="172"/>
      <c r="J334" s="173" t="s">
        <v>27</v>
      </c>
      <c r="L334" s="75">
        <f>G334*(1-'FORM-I'!$V$22/100)</f>
        <v>25.758500000000002</v>
      </c>
      <c r="N334" s="11" t="e">
        <f>VLOOKUP(B334,$B$11:B333,1,FALSE)</f>
        <v>#N/A</v>
      </c>
    </row>
    <row r="335" spans="1:14">
      <c r="A335" s="102"/>
      <c r="B335" s="156">
        <v>9255146</v>
      </c>
      <c r="C335" s="157" t="s">
        <v>441</v>
      </c>
      <c r="D335" s="158">
        <v>10</v>
      </c>
      <c r="E335" s="159"/>
      <c r="F335" s="160"/>
      <c r="G335" s="161">
        <v>22.662400000000002</v>
      </c>
      <c r="H335" s="162" t="str">
        <f t="shared" si="14"/>
        <v>CZK</v>
      </c>
      <c r="I335" s="163"/>
      <c r="J335" s="164" t="s">
        <v>27</v>
      </c>
      <c r="L335" s="75">
        <f>G335*(1-'FORM-I'!$V$22/100)</f>
        <v>22.662400000000002</v>
      </c>
      <c r="N335" s="11" t="e">
        <f>VLOOKUP(B335,$B$11:B334,1,FALSE)</f>
        <v>#N/A</v>
      </c>
    </row>
    <row r="336" spans="1:14">
      <c r="A336" s="102"/>
      <c r="B336" s="122">
        <v>9255147</v>
      </c>
      <c r="C336" s="123" t="s">
        <v>442</v>
      </c>
      <c r="D336" s="124">
        <v>10</v>
      </c>
      <c r="E336" s="125"/>
      <c r="F336" s="126"/>
      <c r="G336" s="127">
        <v>22.662400000000002</v>
      </c>
      <c r="H336" s="128" t="str">
        <f t="shared" si="14"/>
        <v>CZK</v>
      </c>
      <c r="I336" s="129"/>
      <c r="J336" s="130" t="s">
        <v>27</v>
      </c>
      <c r="L336" s="75">
        <f>G336*(1-'FORM-I'!$V$22/100)</f>
        <v>22.662400000000002</v>
      </c>
      <c r="N336" s="11" t="e">
        <f>VLOOKUP(B336,$B$11:B335,1,FALSE)</f>
        <v>#N/A</v>
      </c>
    </row>
    <row r="337" spans="1:14">
      <c r="A337" s="102"/>
      <c r="B337" s="122">
        <v>9255148</v>
      </c>
      <c r="C337" s="123" t="s">
        <v>443</v>
      </c>
      <c r="D337" s="124">
        <v>10</v>
      </c>
      <c r="E337" s="125"/>
      <c r="F337" s="126"/>
      <c r="G337" s="127">
        <v>23.071999999999999</v>
      </c>
      <c r="H337" s="128" t="str">
        <f t="shared" si="14"/>
        <v>CZK</v>
      </c>
      <c r="I337" s="129"/>
      <c r="J337" s="130" t="s">
        <v>27</v>
      </c>
      <c r="L337" s="75">
        <f>G337*(1-'FORM-I'!$V$22/100)</f>
        <v>23.071999999999999</v>
      </c>
      <c r="N337" s="11" t="e">
        <f>VLOOKUP(B337,$B$11:B336,1,FALSE)</f>
        <v>#N/A</v>
      </c>
    </row>
    <row r="338" spans="1:14">
      <c r="A338" s="102"/>
      <c r="B338" s="122">
        <v>9255149</v>
      </c>
      <c r="C338" s="123" t="s">
        <v>444</v>
      </c>
      <c r="D338" s="124">
        <v>10</v>
      </c>
      <c r="E338" s="125"/>
      <c r="F338" s="126"/>
      <c r="G338" s="127">
        <v>23.071999999999999</v>
      </c>
      <c r="H338" s="128" t="str">
        <f t="shared" si="14"/>
        <v>CZK</v>
      </c>
      <c r="I338" s="129"/>
      <c r="J338" s="130" t="s">
        <v>27</v>
      </c>
      <c r="L338" s="75">
        <f>G338*(1-'FORM-I'!$V$22/100)</f>
        <v>23.071999999999999</v>
      </c>
      <c r="N338" s="11" t="e">
        <f>VLOOKUP(B338,$B$11:B337,1,FALSE)</f>
        <v>#N/A</v>
      </c>
    </row>
    <row r="339" spans="1:14">
      <c r="A339" s="102"/>
      <c r="B339" s="122">
        <v>9255150</v>
      </c>
      <c r="C339" s="123" t="s">
        <v>445</v>
      </c>
      <c r="D339" s="124">
        <v>10</v>
      </c>
      <c r="E339" s="125"/>
      <c r="F339" s="126"/>
      <c r="G339" s="127">
        <v>23.4816</v>
      </c>
      <c r="H339" s="128" t="str">
        <f t="shared" si="14"/>
        <v>CZK</v>
      </c>
      <c r="I339" s="129"/>
      <c r="J339" s="130" t="s">
        <v>27</v>
      </c>
      <c r="L339" s="75">
        <f>G339*(1-'FORM-I'!$V$22/100)</f>
        <v>23.4816</v>
      </c>
      <c r="N339" s="11" t="e">
        <f>VLOOKUP(B339,$B$11:B338,1,FALSE)</f>
        <v>#N/A</v>
      </c>
    </row>
    <row r="340" spans="1:14">
      <c r="A340" s="102"/>
      <c r="B340" s="122">
        <v>9255151</v>
      </c>
      <c r="C340" s="123" t="s">
        <v>446</v>
      </c>
      <c r="D340" s="124">
        <v>10</v>
      </c>
      <c r="E340" s="125"/>
      <c r="F340" s="126"/>
      <c r="G340" s="127">
        <v>23.4816</v>
      </c>
      <c r="H340" s="128" t="str">
        <f t="shared" si="14"/>
        <v>CZK</v>
      </c>
      <c r="I340" s="129"/>
      <c r="J340" s="130" t="s">
        <v>27</v>
      </c>
      <c r="L340" s="75">
        <f>G340*(1-'FORM-I'!$V$22/100)</f>
        <v>23.4816</v>
      </c>
      <c r="N340" s="11" t="e">
        <f>VLOOKUP(B340,$B$11:B339,1,FALSE)</f>
        <v>#N/A</v>
      </c>
    </row>
    <row r="341" spans="1:14">
      <c r="A341" s="102"/>
      <c r="B341" s="122">
        <v>9255152</v>
      </c>
      <c r="C341" s="123" t="s">
        <v>447</v>
      </c>
      <c r="D341" s="124">
        <v>10</v>
      </c>
      <c r="E341" s="125"/>
      <c r="F341" s="126"/>
      <c r="G341" s="127">
        <v>23.891200000000001</v>
      </c>
      <c r="H341" s="128" t="str">
        <f t="shared" si="14"/>
        <v>CZK</v>
      </c>
      <c r="I341" s="129"/>
      <c r="J341" s="130" t="s">
        <v>27</v>
      </c>
      <c r="L341" s="75">
        <f>G341*(1-'FORM-I'!$V$22/100)</f>
        <v>23.891200000000001</v>
      </c>
      <c r="N341" s="11" t="e">
        <f>VLOOKUP(B341,$B$11:B340,1,FALSE)</f>
        <v>#N/A</v>
      </c>
    </row>
    <row r="342" spans="1:14">
      <c r="A342" s="102"/>
      <c r="B342" s="122">
        <v>9255153</v>
      </c>
      <c r="C342" s="123" t="s">
        <v>448</v>
      </c>
      <c r="D342" s="124">
        <v>10</v>
      </c>
      <c r="E342" s="125"/>
      <c r="F342" s="126"/>
      <c r="G342" s="127">
        <v>23.891200000000001</v>
      </c>
      <c r="H342" s="128" t="str">
        <f t="shared" si="14"/>
        <v>CZK</v>
      </c>
      <c r="I342" s="129"/>
      <c r="J342" s="130" t="s">
        <v>27</v>
      </c>
      <c r="L342" s="75">
        <f>G342*(1-'FORM-I'!$V$22/100)</f>
        <v>23.891200000000001</v>
      </c>
      <c r="N342" s="11" t="e">
        <f>VLOOKUP(B342,$B$11:B341,1,FALSE)</f>
        <v>#N/A</v>
      </c>
    </row>
    <row r="343" spans="1:14">
      <c r="A343" s="102"/>
      <c r="B343" s="122">
        <v>9255154</v>
      </c>
      <c r="C343" s="123" t="s">
        <v>449</v>
      </c>
      <c r="D343" s="124">
        <v>10</v>
      </c>
      <c r="E343" s="125"/>
      <c r="F343" s="126"/>
      <c r="G343" s="127">
        <v>24.300799999999999</v>
      </c>
      <c r="H343" s="128" t="str">
        <f t="shared" si="14"/>
        <v>CZK</v>
      </c>
      <c r="I343" s="129"/>
      <c r="J343" s="130" t="s">
        <v>27</v>
      </c>
      <c r="L343" s="75">
        <f>G343*(1-'FORM-I'!$V$22/100)</f>
        <v>24.300799999999999</v>
      </c>
      <c r="N343" s="11" t="e">
        <f>VLOOKUP(B343,$B$11:B342,1,FALSE)</f>
        <v>#N/A</v>
      </c>
    </row>
    <row r="344" spans="1:14">
      <c r="A344" s="102"/>
      <c r="B344" s="122">
        <v>9255155</v>
      </c>
      <c r="C344" s="123" t="s">
        <v>450</v>
      </c>
      <c r="D344" s="124">
        <v>10</v>
      </c>
      <c r="E344" s="125"/>
      <c r="F344" s="126"/>
      <c r="G344" s="127">
        <v>24.300799999999999</v>
      </c>
      <c r="H344" s="128" t="str">
        <f t="shared" si="14"/>
        <v>CZK</v>
      </c>
      <c r="I344" s="129"/>
      <c r="J344" s="130" t="s">
        <v>27</v>
      </c>
      <c r="L344" s="75">
        <f>G344*(1-'FORM-I'!$V$22/100)</f>
        <v>24.300799999999999</v>
      </c>
      <c r="N344" s="11" t="e">
        <f>VLOOKUP(B344,$B$11:B343,1,FALSE)</f>
        <v>#N/A</v>
      </c>
    </row>
    <row r="345" spans="1:14">
      <c r="A345" s="102"/>
      <c r="B345" s="122">
        <v>9255156</v>
      </c>
      <c r="C345" s="123" t="s">
        <v>451</v>
      </c>
      <c r="D345" s="124">
        <v>10</v>
      </c>
      <c r="E345" s="125"/>
      <c r="F345" s="126"/>
      <c r="G345" s="127">
        <v>24.918700000000001</v>
      </c>
      <c r="H345" s="128" t="str">
        <f t="shared" si="14"/>
        <v>CZK</v>
      </c>
      <c r="I345" s="129"/>
      <c r="J345" s="130" t="s">
        <v>27</v>
      </c>
      <c r="L345" s="75">
        <f>G345*(1-'FORM-I'!$V$22/100)</f>
        <v>24.918700000000001</v>
      </c>
      <c r="N345" s="11" t="e">
        <f>VLOOKUP(B345,$B$11:B344,1,FALSE)</f>
        <v>#N/A</v>
      </c>
    </row>
    <row r="346" spans="1:14">
      <c r="A346" s="102"/>
      <c r="B346" s="122">
        <v>9255157</v>
      </c>
      <c r="C346" s="123" t="s">
        <v>452</v>
      </c>
      <c r="D346" s="124">
        <v>10</v>
      </c>
      <c r="E346" s="125"/>
      <c r="F346" s="126"/>
      <c r="G346" s="127">
        <v>24.918700000000001</v>
      </c>
      <c r="H346" s="128" t="str">
        <f t="shared" si="14"/>
        <v>CZK</v>
      </c>
      <c r="I346" s="129"/>
      <c r="J346" s="130" t="s">
        <v>27</v>
      </c>
      <c r="L346" s="75">
        <f>G346*(1-'FORM-I'!$V$22/100)</f>
        <v>24.918700000000001</v>
      </c>
      <c r="N346" s="11" t="e">
        <f>VLOOKUP(B346,$B$11:B345,1,FALSE)</f>
        <v>#N/A</v>
      </c>
    </row>
    <row r="347" spans="1:14">
      <c r="A347" s="102"/>
      <c r="B347" s="122">
        <v>9255158</v>
      </c>
      <c r="C347" s="123" t="s">
        <v>453</v>
      </c>
      <c r="D347" s="124">
        <v>10</v>
      </c>
      <c r="E347" s="125"/>
      <c r="F347" s="126"/>
      <c r="G347" s="127">
        <v>25.758500000000002</v>
      </c>
      <c r="H347" s="128" t="str">
        <f t="shared" si="14"/>
        <v>CZK</v>
      </c>
      <c r="I347" s="129"/>
      <c r="J347" s="130" t="s">
        <v>27</v>
      </c>
      <c r="L347" s="75">
        <f>G347*(1-'FORM-I'!$V$22/100)</f>
        <v>25.758500000000002</v>
      </c>
      <c r="N347" s="11" t="e">
        <f>VLOOKUP(B347,$B$11:B346,1,FALSE)</f>
        <v>#N/A</v>
      </c>
    </row>
    <row r="348" spans="1:14">
      <c r="A348" s="102"/>
      <c r="B348" s="165">
        <v>9255159</v>
      </c>
      <c r="C348" s="166" t="s">
        <v>454</v>
      </c>
      <c r="D348" s="167">
        <v>10</v>
      </c>
      <c r="E348" s="168"/>
      <c r="F348" s="169"/>
      <c r="G348" s="170">
        <v>25.758500000000002</v>
      </c>
      <c r="H348" s="171" t="str">
        <f t="shared" si="14"/>
        <v>CZK</v>
      </c>
      <c r="I348" s="172"/>
      <c r="J348" s="173" t="s">
        <v>27</v>
      </c>
      <c r="L348" s="75">
        <f>G348*(1-'FORM-I'!$V$22/100)</f>
        <v>25.758500000000002</v>
      </c>
      <c r="N348" s="11" t="e">
        <f>VLOOKUP(B348,$B$11:B347,1,FALSE)</f>
        <v>#N/A</v>
      </c>
    </row>
    <row r="349" spans="1:14">
      <c r="A349" s="112"/>
      <c r="B349" s="156">
        <v>9255226</v>
      </c>
      <c r="C349" s="157" t="s">
        <v>455</v>
      </c>
      <c r="D349" s="158">
        <v>10</v>
      </c>
      <c r="E349" s="159"/>
      <c r="F349" s="160"/>
      <c r="G349" s="161">
        <v>22.662400000000002</v>
      </c>
      <c r="H349" s="162" t="str">
        <f t="shared" si="14"/>
        <v>CZK</v>
      </c>
      <c r="I349" s="163"/>
      <c r="J349" s="164" t="s">
        <v>27</v>
      </c>
      <c r="L349" s="75">
        <f>G349*(1-'FORM-I'!$V$22/100)</f>
        <v>22.662400000000002</v>
      </c>
      <c r="N349" s="11" t="e">
        <f>VLOOKUP(B349,$B$11:B348,1,FALSE)</f>
        <v>#N/A</v>
      </c>
    </row>
    <row r="350" spans="1:14">
      <c r="A350" s="112"/>
      <c r="B350" s="122">
        <v>9255227</v>
      </c>
      <c r="C350" s="123" t="s">
        <v>456</v>
      </c>
      <c r="D350" s="124">
        <v>10</v>
      </c>
      <c r="E350" s="125"/>
      <c r="F350" s="126"/>
      <c r="G350" s="127">
        <v>22.662400000000002</v>
      </c>
      <c r="H350" s="128" t="str">
        <f t="shared" si="14"/>
        <v>CZK</v>
      </c>
      <c r="I350" s="129"/>
      <c r="J350" s="130" t="s">
        <v>27</v>
      </c>
      <c r="L350" s="75">
        <f>G350*(1-'FORM-I'!$V$22/100)</f>
        <v>22.662400000000002</v>
      </c>
      <c r="N350" s="11" t="e">
        <f>VLOOKUP(B350,$B$11:B349,1,FALSE)</f>
        <v>#N/A</v>
      </c>
    </row>
    <row r="351" spans="1:14">
      <c r="A351" s="112"/>
      <c r="B351" s="122">
        <v>9255228</v>
      </c>
      <c r="C351" s="123" t="s">
        <v>457</v>
      </c>
      <c r="D351" s="124">
        <v>10</v>
      </c>
      <c r="E351" s="125"/>
      <c r="F351" s="126"/>
      <c r="G351" s="127">
        <v>23.071999999999999</v>
      </c>
      <c r="H351" s="128" t="str">
        <f t="shared" si="14"/>
        <v>CZK</v>
      </c>
      <c r="I351" s="129"/>
      <c r="J351" s="130" t="s">
        <v>27</v>
      </c>
      <c r="L351" s="75">
        <f>G351*(1-'FORM-I'!$V$22/100)</f>
        <v>23.071999999999999</v>
      </c>
      <c r="N351" s="11" t="e">
        <f>VLOOKUP(B351,$B$11:B350,1,FALSE)</f>
        <v>#N/A</v>
      </c>
    </row>
    <row r="352" spans="1:14">
      <c r="A352" s="112"/>
      <c r="B352" s="122">
        <v>9255229</v>
      </c>
      <c r="C352" s="123" t="s">
        <v>458</v>
      </c>
      <c r="D352" s="124">
        <v>10</v>
      </c>
      <c r="E352" s="125"/>
      <c r="F352" s="126"/>
      <c r="G352" s="127">
        <v>23.071999999999999</v>
      </c>
      <c r="H352" s="128" t="str">
        <f t="shared" si="14"/>
        <v>CZK</v>
      </c>
      <c r="I352" s="129"/>
      <c r="J352" s="130" t="s">
        <v>27</v>
      </c>
      <c r="L352" s="75">
        <f>G352*(1-'FORM-I'!$V$22/100)</f>
        <v>23.071999999999999</v>
      </c>
      <c r="N352" s="11" t="e">
        <f>VLOOKUP(B352,$B$11:B351,1,FALSE)</f>
        <v>#N/A</v>
      </c>
    </row>
    <row r="353" spans="1:14">
      <c r="A353" s="112"/>
      <c r="B353" s="122">
        <v>9255230</v>
      </c>
      <c r="C353" s="123" t="s">
        <v>459</v>
      </c>
      <c r="D353" s="124">
        <v>10</v>
      </c>
      <c r="E353" s="125"/>
      <c r="F353" s="126"/>
      <c r="G353" s="127">
        <v>23.4816</v>
      </c>
      <c r="H353" s="128" t="str">
        <f t="shared" si="14"/>
        <v>CZK</v>
      </c>
      <c r="I353" s="129"/>
      <c r="J353" s="130" t="s">
        <v>27</v>
      </c>
      <c r="L353" s="75">
        <f>G353*(1-'FORM-I'!$V$22/100)</f>
        <v>23.4816</v>
      </c>
      <c r="N353" s="11" t="e">
        <f>VLOOKUP(B353,$B$11:B352,1,FALSE)</f>
        <v>#N/A</v>
      </c>
    </row>
    <row r="354" spans="1:14">
      <c r="A354" s="112"/>
      <c r="B354" s="122">
        <v>9255231</v>
      </c>
      <c r="C354" s="123" t="s">
        <v>460</v>
      </c>
      <c r="D354" s="124">
        <v>10</v>
      </c>
      <c r="E354" s="125"/>
      <c r="F354" s="126"/>
      <c r="G354" s="127">
        <v>23.4816</v>
      </c>
      <c r="H354" s="128" t="str">
        <f t="shared" si="14"/>
        <v>CZK</v>
      </c>
      <c r="I354" s="129"/>
      <c r="J354" s="130" t="s">
        <v>27</v>
      </c>
      <c r="L354" s="75">
        <f>G354*(1-'FORM-I'!$V$22/100)</f>
        <v>23.4816</v>
      </c>
      <c r="N354" s="11" t="e">
        <f>VLOOKUP(B354,$B$11:B353,1,FALSE)</f>
        <v>#N/A</v>
      </c>
    </row>
    <row r="355" spans="1:14">
      <c r="A355" s="112"/>
      <c r="B355" s="122">
        <v>9255232</v>
      </c>
      <c r="C355" s="123" t="s">
        <v>461</v>
      </c>
      <c r="D355" s="124">
        <v>10</v>
      </c>
      <c r="E355" s="125"/>
      <c r="F355" s="126"/>
      <c r="G355" s="127">
        <v>23.891200000000001</v>
      </c>
      <c r="H355" s="128" t="str">
        <f t="shared" si="14"/>
        <v>CZK</v>
      </c>
      <c r="I355" s="129"/>
      <c r="J355" s="130" t="s">
        <v>27</v>
      </c>
      <c r="L355" s="75">
        <f>G355*(1-'FORM-I'!$V$22/100)</f>
        <v>23.891200000000001</v>
      </c>
      <c r="N355" s="11" t="e">
        <f>VLOOKUP(B355,$B$11:B354,1,FALSE)</f>
        <v>#N/A</v>
      </c>
    </row>
    <row r="356" spans="1:14">
      <c r="A356" s="112"/>
      <c r="B356" s="122">
        <v>9255233</v>
      </c>
      <c r="C356" s="123" t="s">
        <v>462</v>
      </c>
      <c r="D356" s="124">
        <v>10</v>
      </c>
      <c r="E356" s="125"/>
      <c r="F356" s="126"/>
      <c r="G356" s="127">
        <v>23.891200000000001</v>
      </c>
      <c r="H356" s="128" t="str">
        <f t="shared" si="14"/>
        <v>CZK</v>
      </c>
      <c r="I356" s="129"/>
      <c r="J356" s="130" t="s">
        <v>27</v>
      </c>
      <c r="L356" s="75">
        <f>G356*(1-'FORM-I'!$V$22/100)</f>
        <v>23.891200000000001</v>
      </c>
      <c r="N356" s="11" t="e">
        <f>VLOOKUP(B356,$B$11:B355,1,FALSE)</f>
        <v>#N/A</v>
      </c>
    </row>
    <row r="357" spans="1:14">
      <c r="A357" s="112"/>
      <c r="B357" s="122">
        <v>9255234</v>
      </c>
      <c r="C357" s="123" t="s">
        <v>463</v>
      </c>
      <c r="D357" s="124">
        <v>10</v>
      </c>
      <c r="E357" s="125"/>
      <c r="F357" s="126"/>
      <c r="G357" s="127">
        <v>24.300799999999999</v>
      </c>
      <c r="H357" s="128" t="str">
        <f t="shared" si="14"/>
        <v>CZK</v>
      </c>
      <c r="I357" s="129"/>
      <c r="J357" s="130" t="s">
        <v>27</v>
      </c>
      <c r="L357" s="75">
        <f>G357*(1-'FORM-I'!$V$22/100)</f>
        <v>24.300799999999999</v>
      </c>
      <c r="N357" s="11" t="e">
        <f>VLOOKUP(B357,$B$11:B356,1,FALSE)</f>
        <v>#N/A</v>
      </c>
    </row>
    <row r="358" spans="1:14">
      <c r="A358" s="112"/>
      <c r="B358" s="122">
        <v>9255235</v>
      </c>
      <c r="C358" s="123" t="s">
        <v>464</v>
      </c>
      <c r="D358" s="124">
        <v>10</v>
      </c>
      <c r="E358" s="125"/>
      <c r="F358" s="126"/>
      <c r="G358" s="127">
        <v>24.300799999999999</v>
      </c>
      <c r="H358" s="128" t="str">
        <f t="shared" si="14"/>
        <v>CZK</v>
      </c>
      <c r="I358" s="129"/>
      <c r="J358" s="130" t="s">
        <v>27</v>
      </c>
      <c r="L358" s="75">
        <f>G358*(1-'FORM-I'!$V$22/100)</f>
        <v>24.300799999999999</v>
      </c>
      <c r="N358" s="11" t="e">
        <f>VLOOKUP(B358,$B$11:B357,1,FALSE)</f>
        <v>#N/A</v>
      </c>
    </row>
    <row r="359" spans="1:14">
      <c r="A359" s="112"/>
      <c r="B359" s="122">
        <v>9255236</v>
      </c>
      <c r="C359" s="123" t="s">
        <v>465</v>
      </c>
      <c r="D359" s="124">
        <v>10</v>
      </c>
      <c r="E359" s="125"/>
      <c r="F359" s="126"/>
      <c r="G359" s="127">
        <v>24.918700000000001</v>
      </c>
      <c r="H359" s="128" t="str">
        <f t="shared" si="14"/>
        <v>CZK</v>
      </c>
      <c r="I359" s="129"/>
      <c r="J359" s="130" t="s">
        <v>27</v>
      </c>
      <c r="L359" s="75">
        <f>G359*(1-'FORM-I'!$V$22/100)</f>
        <v>24.918700000000001</v>
      </c>
      <c r="N359" s="11" t="e">
        <f>VLOOKUP(B359,$B$11:B358,1,FALSE)</f>
        <v>#N/A</v>
      </c>
    </row>
    <row r="360" spans="1:14">
      <c r="A360" s="112"/>
      <c r="B360" s="122">
        <v>9255237</v>
      </c>
      <c r="C360" s="123" t="s">
        <v>466</v>
      </c>
      <c r="D360" s="124">
        <v>10</v>
      </c>
      <c r="E360" s="125"/>
      <c r="F360" s="126"/>
      <c r="G360" s="127">
        <v>24.918700000000001</v>
      </c>
      <c r="H360" s="128" t="str">
        <f t="shared" si="14"/>
        <v>CZK</v>
      </c>
      <c r="I360" s="129"/>
      <c r="J360" s="130" t="s">
        <v>27</v>
      </c>
      <c r="L360" s="75">
        <f>G360*(1-'FORM-I'!$V$22/100)</f>
        <v>24.918700000000001</v>
      </c>
      <c r="N360" s="11" t="e">
        <f>VLOOKUP(B360,$B$11:B359,1,FALSE)</f>
        <v>#N/A</v>
      </c>
    </row>
    <row r="361" spans="1:14">
      <c r="A361" s="112"/>
      <c r="B361" s="122">
        <v>9255238</v>
      </c>
      <c r="C361" s="123" t="s">
        <v>467</v>
      </c>
      <c r="D361" s="124">
        <v>10</v>
      </c>
      <c r="E361" s="125"/>
      <c r="F361" s="126"/>
      <c r="G361" s="127">
        <v>25.758500000000002</v>
      </c>
      <c r="H361" s="128" t="str">
        <f t="shared" si="14"/>
        <v>CZK</v>
      </c>
      <c r="I361" s="129"/>
      <c r="J361" s="130" t="s">
        <v>27</v>
      </c>
      <c r="L361" s="75">
        <f>G361*(1-'FORM-I'!$V$22/100)</f>
        <v>25.758500000000002</v>
      </c>
      <c r="N361" s="11" t="e">
        <f>VLOOKUP(B361,$B$11:B360,1,FALSE)</f>
        <v>#N/A</v>
      </c>
    </row>
    <row r="362" spans="1:14">
      <c r="A362" s="112"/>
      <c r="B362" s="165">
        <v>9255239</v>
      </c>
      <c r="C362" s="166" t="s">
        <v>468</v>
      </c>
      <c r="D362" s="167">
        <v>10</v>
      </c>
      <c r="E362" s="168"/>
      <c r="F362" s="169"/>
      <c r="G362" s="170">
        <v>25.758500000000002</v>
      </c>
      <c r="H362" s="171" t="str">
        <f t="shared" si="14"/>
        <v>CZK</v>
      </c>
      <c r="I362" s="172"/>
      <c r="J362" s="173" t="s">
        <v>27</v>
      </c>
      <c r="L362" s="75">
        <f>G362*(1-'FORM-I'!$V$22/100)</f>
        <v>25.758500000000002</v>
      </c>
      <c r="N362" s="11" t="e">
        <f>VLOOKUP(B362,$B$11:B361,1,FALSE)</f>
        <v>#N/A</v>
      </c>
    </row>
    <row r="363" spans="1:14">
      <c r="B363" s="156">
        <v>9257887</v>
      </c>
      <c r="C363" s="157" t="s">
        <v>469</v>
      </c>
      <c r="D363" s="158">
        <v>200</v>
      </c>
      <c r="E363" s="159"/>
      <c r="F363" s="160"/>
      <c r="G363" s="161">
        <v>0.42120000000000002</v>
      </c>
      <c r="H363" s="162" t="str">
        <f t="shared" si="14"/>
        <v>CZK</v>
      </c>
      <c r="I363" s="163"/>
      <c r="J363" s="164" t="s">
        <v>27</v>
      </c>
      <c r="L363" s="75">
        <f>G363*(1-'FORM-I'!$V$22/100)</f>
        <v>0.42120000000000002</v>
      </c>
      <c r="N363" s="11" t="e">
        <f>VLOOKUP(B363,$B$11:B362,1,FALSE)</f>
        <v>#N/A</v>
      </c>
    </row>
    <row r="364" spans="1:14">
      <c r="B364" s="165">
        <v>9257888</v>
      </c>
      <c r="C364" s="166" t="s">
        <v>470</v>
      </c>
      <c r="D364" s="167">
        <v>200</v>
      </c>
      <c r="E364" s="168"/>
      <c r="F364" s="169"/>
      <c r="G364" s="170">
        <v>0.4526</v>
      </c>
      <c r="H364" s="171" t="str">
        <f t="shared" si="14"/>
        <v>CZK</v>
      </c>
      <c r="I364" s="172"/>
      <c r="J364" s="173" t="s">
        <v>27</v>
      </c>
      <c r="L364" s="75">
        <f>G364*(1-'FORM-I'!$V$22/100)</f>
        <v>0.4526</v>
      </c>
      <c r="N364" s="11" t="e">
        <f>VLOOKUP(B364,$B$11:B363,1,FALSE)</f>
        <v>#N/A</v>
      </c>
    </row>
    <row r="365" spans="1:14">
      <c r="B365" s="147"/>
      <c r="C365" s="148"/>
      <c r="D365" s="149"/>
      <c r="E365" s="150"/>
      <c r="F365" s="151"/>
      <c r="G365" s="152"/>
      <c r="H365" s="153"/>
      <c r="I365" s="154"/>
      <c r="J365" s="155" t="s">
        <v>27</v>
      </c>
      <c r="L365" s="75">
        <f>G365*(1-'FORM-I'!$V$22/100)</f>
        <v>0</v>
      </c>
      <c r="N365" s="11" t="e">
        <f>VLOOKUP(B365,$B$11:B364,1,FALSE)</f>
        <v>#N/A</v>
      </c>
    </row>
    <row r="366" spans="1:14">
      <c r="A366" s="67"/>
      <c r="B366" s="156">
        <v>9257173</v>
      </c>
      <c r="C366" s="157" t="s">
        <v>471</v>
      </c>
      <c r="D366" s="158">
        <v>1</v>
      </c>
      <c r="E366" s="159"/>
      <c r="F366" s="160"/>
      <c r="G366" s="161">
        <v>42.375</v>
      </c>
      <c r="H366" s="162" t="str">
        <f t="shared" ref="H366:H377" si="15">IF(G366="","",$H$10)</f>
        <v>CZK</v>
      </c>
      <c r="I366" s="163"/>
      <c r="J366" s="164" t="s">
        <v>27</v>
      </c>
      <c r="L366" s="75">
        <f>G366*(1-'FORM-I'!$V$22/100)</f>
        <v>42.375</v>
      </c>
      <c r="N366" s="11" t="e">
        <f>VLOOKUP(B366,$B$11:B365,1,FALSE)</f>
        <v>#N/A</v>
      </c>
    </row>
    <row r="367" spans="1:14">
      <c r="A367" s="67"/>
      <c r="B367" s="122">
        <v>9257174</v>
      </c>
      <c r="C367" s="123" t="s">
        <v>472</v>
      </c>
      <c r="D367" s="124">
        <v>1</v>
      </c>
      <c r="E367" s="125"/>
      <c r="F367" s="126"/>
      <c r="G367" s="127">
        <v>42.933599999999998</v>
      </c>
      <c r="H367" s="128" t="str">
        <f t="shared" si="15"/>
        <v>CZK</v>
      </c>
      <c r="I367" s="129"/>
      <c r="J367" s="130" t="s">
        <v>27</v>
      </c>
      <c r="L367" s="75">
        <f>G367*(1-'FORM-I'!$V$22/100)</f>
        <v>42.933599999999998</v>
      </c>
      <c r="N367" s="11" t="e">
        <f>VLOOKUP(B367,$B$11:B366,1,FALSE)</f>
        <v>#N/A</v>
      </c>
    </row>
    <row r="368" spans="1:14">
      <c r="A368" s="67"/>
      <c r="B368" s="122">
        <v>9257175</v>
      </c>
      <c r="C368" s="123" t="s">
        <v>473</v>
      </c>
      <c r="D368" s="124">
        <v>1</v>
      </c>
      <c r="E368" s="125"/>
      <c r="F368" s="126"/>
      <c r="G368" s="127">
        <v>43.492199999999997</v>
      </c>
      <c r="H368" s="128" t="str">
        <f t="shared" si="15"/>
        <v>CZK</v>
      </c>
      <c r="I368" s="129"/>
      <c r="J368" s="130" t="s">
        <v>27</v>
      </c>
      <c r="L368" s="75">
        <f>G368*(1-'FORM-I'!$V$22/100)</f>
        <v>43.492199999999997</v>
      </c>
      <c r="N368" s="11" t="e">
        <f>VLOOKUP(B368,$B$11:B367,1,FALSE)</f>
        <v>#N/A</v>
      </c>
    </row>
    <row r="369" spans="1:14">
      <c r="A369" s="67"/>
      <c r="B369" s="122">
        <v>9257176</v>
      </c>
      <c r="C369" s="123" t="s">
        <v>474</v>
      </c>
      <c r="D369" s="124">
        <v>1</v>
      </c>
      <c r="E369" s="125"/>
      <c r="F369" s="126"/>
      <c r="G369" s="127">
        <v>44.050699999999999</v>
      </c>
      <c r="H369" s="128" t="str">
        <f t="shared" si="15"/>
        <v>CZK</v>
      </c>
      <c r="I369" s="129"/>
      <c r="J369" s="130" t="s">
        <v>27</v>
      </c>
      <c r="L369" s="75">
        <f>G369*(1-'FORM-I'!$V$22/100)</f>
        <v>44.050699999999999</v>
      </c>
      <c r="N369" s="11" t="e">
        <f>VLOOKUP(B369,$B$11:B368,1,FALSE)</f>
        <v>#N/A</v>
      </c>
    </row>
    <row r="370" spans="1:14">
      <c r="A370" s="67"/>
      <c r="B370" s="122">
        <v>9257177</v>
      </c>
      <c r="C370" s="123" t="s">
        <v>475</v>
      </c>
      <c r="D370" s="124">
        <v>1</v>
      </c>
      <c r="E370" s="125"/>
      <c r="F370" s="126"/>
      <c r="G370" s="127">
        <v>44.609400000000001</v>
      </c>
      <c r="H370" s="128" t="str">
        <f t="shared" si="15"/>
        <v>CZK</v>
      </c>
      <c r="I370" s="129"/>
      <c r="J370" s="130" t="s">
        <v>27</v>
      </c>
      <c r="L370" s="75">
        <f>G370*(1-'FORM-I'!$V$22/100)</f>
        <v>44.609400000000001</v>
      </c>
      <c r="N370" s="11" t="e">
        <f>VLOOKUP(B370,$B$11:B369,1,FALSE)</f>
        <v>#N/A</v>
      </c>
    </row>
    <row r="371" spans="1:14">
      <c r="A371" s="67"/>
      <c r="B371" s="122">
        <v>9257178</v>
      </c>
      <c r="C371" s="123" t="s">
        <v>476</v>
      </c>
      <c r="D371" s="124">
        <v>1</v>
      </c>
      <c r="E371" s="125"/>
      <c r="F371" s="126"/>
      <c r="G371" s="127">
        <v>45.451799999999999</v>
      </c>
      <c r="H371" s="128" t="str">
        <f t="shared" si="15"/>
        <v>CZK</v>
      </c>
      <c r="I371" s="129"/>
      <c r="J371" s="130" t="s">
        <v>27</v>
      </c>
      <c r="L371" s="75">
        <f>G371*(1-'FORM-I'!$V$22/100)</f>
        <v>45.451799999999999</v>
      </c>
      <c r="N371" s="11" t="e">
        <f>VLOOKUP(B371,$B$11:B370,1,FALSE)</f>
        <v>#N/A</v>
      </c>
    </row>
    <row r="372" spans="1:14">
      <c r="A372" s="67"/>
      <c r="B372" s="165">
        <v>9257179</v>
      </c>
      <c r="C372" s="166" t="s">
        <v>477</v>
      </c>
      <c r="D372" s="167">
        <v>1</v>
      </c>
      <c r="E372" s="168"/>
      <c r="F372" s="169"/>
      <c r="G372" s="170">
        <v>46.597499999999997</v>
      </c>
      <c r="H372" s="171" t="str">
        <f t="shared" si="15"/>
        <v>CZK</v>
      </c>
      <c r="I372" s="172"/>
      <c r="J372" s="173" t="s">
        <v>27</v>
      </c>
      <c r="L372" s="75">
        <f>G372*(1-'FORM-I'!$V$22/100)</f>
        <v>46.597499999999997</v>
      </c>
      <c r="N372" s="11" t="e">
        <f>VLOOKUP(B372,$B$11:B371,1,FALSE)</f>
        <v>#N/A</v>
      </c>
    </row>
    <row r="373" spans="1:14">
      <c r="A373" s="102"/>
      <c r="B373" s="156">
        <v>9257180</v>
      </c>
      <c r="C373" s="157" t="s">
        <v>478</v>
      </c>
      <c r="D373" s="158">
        <v>1</v>
      </c>
      <c r="E373" s="159"/>
      <c r="F373" s="160"/>
      <c r="G373" s="161">
        <v>42.375</v>
      </c>
      <c r="H373" s="162" t="str">
        <f t="shared" si="15"/>
        <v>CZK</v>
      </c>
      <c r="I373" s="163"/>
      <c r="J373" s="164" t="s">
        <v>27</v>
      </c>
      <c r="L373" s="75">
        <f>G373*(1-'FORM-I'!$V$22/100)</f>
        <v>42.375</v>
      </c>
      <c r="N373" s="11" t="e">
        <f>VLOOKUP(B373,$B$11:B372,1,FALSE)</f>
        <v>#N/A</v>
      </c>
    </row>
    <row r="374" spans="1:14">
      <c r="A374" s="102"/>
      <c r="B374" s="122">
        <v>9257181</v>
      </c>
      <c r="C374" s="123" t="s">
        <v>479</v>
      </c>
      <c r="D374" s="124">
        <v>1</v>
      </c>
      <c r="E374" s="125"/>
      <c r="F374" s="126"/>
      <c r="G374" s="127">
        <v>42.933599999999998</v>
      </c>
      <c r="H374" s="128" t="str">
        <f t="shared" si="15"/>
        <v>CZK</v>
      </c>
      <c r="I374" s="129"/>
      <c r="J374" s="130" t="s">
        <v>27</v>
      </c>
      <c r="L374" s="75">
        <f>G374*(1-'FORM-I'!$V$22/100)</f>
        <v>42.933599999999998</v>
      </c>
      <c r="N374" s="11" t="e">
        <f>VLOOKUP(B374,$B$11:B373,1,FALSE)</f>
        <v>#N/A</v>
      </c>
    </row>
    <row r="375" spans="1:14">
      <c r="A375" s="102"/>
      <c r="B375" s="122">
        <v>9257182</v>
      </c>
      <c r="C375" s="123" t="s">
        <v>480</v>
      </c>
      <c r="D375" s="124">
        <v>1</v>
      </c>
      <c r="E375" s="125"/>
      <c r="F375" s="126"/>
      <c r="G375" s="127">
        <v>43.492199999999997</v>
      </c>
      <c r="H375" s="128" t="str">
        <f t="shared" si="15"/>
        <v>CZK</v>
      </c>
      <c r="I375" s="129"/>
      <c r="J375" s="130" t="s">
        <v>27</v>
      </c>
      <c r="L375" s="75">
        <f>G375*(1-'FORM-I'!$V$22/100)</f>
        <v>43.492199999999997</v>
      </c>
      <c r="N375" s="11" t="e">
        <f>VLOOKUP(B375,$B$11:B374,1,FALSE)</f>
        <v>#N/A</v>
      </c>
    </row>
    <row r="376" spans="1:14">
      <c r="A376" s="102"/>
      <c r="B376" s="122">
        <v>9257183</v>
      </c>
      <c r="C376" s="123" t="s">
        <v>481</v>
      </c>
      <c r="D376" s="124">
        <v>1</v>
      </c>
      <c r="E376" s="125"/>
      <c r="F376" s="126"/>
      <c r="G376" s="127">
        <v>44.050699999999999</v>
      </c>
      <c r="H376" s="128" t="str">
        <f t="shared" si="15"/>
        <v>CZK</v>
      </c>
      <c r="I376" s="129"/>
      <c r="J376" s="130" t="s">
        <v>27</v>
      </c>
      <c r="L376" s="75">
        <f>G376*(1-'FORM-I'!$V$22/100)</f>
        <v>44.050699999999999</v>
      </c>
      <c r="N376" s="11" t="e">
        <f>VLOOKUP(B376,$B$11:B375,1,FALSE)</f>
        <v>#N/A</v>
      </c>
    </row>
    <row r="377" spans="1:14">
      <c r="A377" s="102"/>
      <c r="B377" s="122">
        <v>9257184</v>
      </c>
      <c r="C377" s="123" t="s">
        <v>482</v>
      </c>
      <c r="D377" s="124">
        <v>1</v>
      </c>
      <c r="E377" s="125"/>
      <c r="F377" s="126"/>
      <c r="G377" s="127">
        <v>44.609400000000001</v>
      </c>
      <c r="H377" s="128" t="str">
        <f t="shared" si="15"/>
        <v>CZK</v>
      </c>
      <c r="I377" s="129"/>
      <c r="J377" s="130" t="s">
        <v>27</v>
      </c>
      <c r="L377" s="75">
        <f>G377*(1-'FORM-I'!$V$22/100)</f>
        <v>44.609400000000001</v>
      </c>
      <c r="N377" s="11" t="e">
        <f>VLOOKUP(B377,$B$11:B376,1,FALSE)</f>
        <v>#N/A</v>
      </c>
    </row>
    <row r="378" spans="1:14">
      <c r="A378" s="102"/>
      <c r="B378" s="122">
        <v>9257185</v>
      </c>
      <c r="C378" s="123" t="s">
        <v>483</v>
      </c>
      <c r="D378" s="124">
        <v>1</v>
      </c>
      <c r="E378" s="125"/>
      <c r="F378" s="126"/>
      <c r="G378" s="127">
        <v>45.451799999999999</v>
      </c>
      <c r="H378" s="128" t="str">
        <f>IF(G378="","",$H$10)</f>
        <v>CZK</v>
      </c>
      <c r="I378" s="129"/>
      <c r="J378" s="130" t="s">
        <v>27</v>
      </c>
      <c r="L378" s="75">
        <f>G378*(1-'FORM-I'!$V$22/100)</f>
        <v>45.451799999999999</v>
      </c>
      <c r="N378" s="11" t="e">
        <f>VLOOKUP(B378,$B$11:B377,1,FALSE)</f>
        <v>#N/A</v>
      </c>
    </row>
    <row r="379" spans="1:14">
      <c r="A379" s="102"/>
      <c r="B379" s="165">
        <v>9257186</v>
      </c>
      <c r="C379" s="166" t="s">
        <v>484</v>
      </c>
      <c r="D379" s="167">
        <v>1</v>
      </c>
      <c r="E379" s="168"/>
      <c r="F379" s="169"/>
      <c r="G379" s="170">
        <v>46.597499999999997</v>
      </c>
      <c r="H379" s="171" t="str">
        <f t="shared" ref="H379:H386" si="16">IF(G379="","",$H$10)</f>
        <v>CZK</v>
      </c>
      <c r="I379" s="172"/>
      <c r="J379" s="173" t="s">
        <v>27</v>
      </c>
      <c r="L379" s="75">
        <f>G379*(1-'FORM-I'!$V$22/100)</f>
        <v>46.597499999999997</v>
      </c>
      <c r="N379" s="11" t="e">
        <f>VLOOKUP(B379,$B$11:B378,1,FALSE)</f>
        <v>#N/A</v>
      </c>
    </row>
    <row r="380" spans="1:14">
      <c r="A380" s="112"/>
      <c r="B380" s="156">
        <v>9257187</v>
      </c>
      <c r="C380" s="157" t="s">
        <v>485</v>
      </c>
      <c r="D380" s="158">
        <v>1</v>
      </c>
      <c r="E380" s="159"/>
      <c r="F380" s="160"/>
      <c r="G380" s="161">
        <v>42.375</v>
      </c>
      <c r="H380" s="162" t="str">
        <f t="shared" si="16"/>
        <v>CZK</v>
      </c>
      <c r="I380" s="163"/>
      <c r="J380" s="164" t="s">
        <v>27</v>
      </c>
      <c r="L380" s="75">
        <f>G380*(1-'FORM-I'!$V$22/100)</f>
        <v>42.375</v>
      </c>
      <c r="N380" s="11" t="e">
        <f>VLOOKUP(B380,$B$11:B379,1,FALSE)</f>
        <v>#N/A</v>
      </c>
    </row>
    <row r="381" spans="1:14">
      <c r="A381" s="112"/>
      <c r="B381" s="122">
        <v>9257188</v>
      </c>
      <c r="C381" s="123" t="s">
        <v>486</v>
      </c>
      <c r="D381" s="124">
        <v>1</v>
      </c>
      <c r="E381" s="125"/>
      <c r="F381" s="126"/>
      <c r="G381" s="127">
        <v>42.933599999999998</v>
      </c>
      <c r="H381" s="128" t="str">
        <f t="shared" si="16"/>
        <v>CZK</v>
      </c>
      <c r="I381" s="129"/>
      <c r="J381" s="130" t="s">
        <v>27</v>
      </c>
      <c r="L381" s="75">
        <f>G381*(1-'FORM-I'!$V$22/100)</f>
        <v>42.933599999999998</v>
      </c>
      <c r="N381" s="11" t="e">
        <f>VLOOKUP(B381,$B$11:B380,1,FALSE)</f>
        <v>#N/A</v>
      </c>
    </row>
    <row r="382" spans="1:14">
      <c r="A382" s="112"/>
      <c r="B382" s="122">
        <v>9257189</v>
      </c>
      <c r="C382" s="123" t="s">
        <v>487</v>
      </c>
      <c r="D382" s="124">
        <v>1</v>
      </c>
      <c r="E382" s="125"/>
      <c r="F382" s="126"/>
      <c r="G382" s="127">
        <v>43.492199999999997</v>
      </c>
      <c r="H382" s="128" t="str">
        <f t="shared" si="16"/>
        <v>CZK</v>
      </c>
      <c r="I382" s="129"/>
      <c r="J382" s="130" t="s">
        <v>27</v>
      </c>
      <c r="L382" s="75">
        <f>G382*(1-'FORM-I'!$V$22/100)</f>
        <v>43.492199999999997</v>
      </c>
      <c r="N382" s="11" t="e">
        <f>VLOOKUP(B382,$B$11:B381,1,FALSE)</f>
        <v>#N/A</v>
      </c>
    </row>
    <row r="383" spans="1:14">
      <c r="A383" s="112"/>
      <c r="B383" s="122">
        <v>9257190</v>
      </c>
      <c r="C383" s="123" t="s">
        <v>488</v>
      </c>
      <c r="D383" s="124">
        <v>1</v>
      </c>
      <c r="E383" s="125"/>
      <c r="F383" s="126"/>
      <c r="G383" s="127">
        <v>44.050699999999999</v>
      </c>
      <c r="H383" s="128" t="str">
        <f t="shared" si="16"/>
        <v>CZK</v>
      </c>
      <c r="I383" s="129"/>
      <c r="J383" s="130" t="s">
        <v>27</v>
      </c>
      <c r="L383" s="75">
        <f>G383*(1-'FORM-I'!$V$22/100)</f>
        <v>44.050699999999999</v>
      </c>
      <c r="N383" s="11" t="e">
        <f>VLOOKUP(B383,$B$11:B382,1,FALSE)</f>
        <v>#N/A</v>
      </c>
    </row>
    <row r="384" spans="1:14">
      <c r="A384" s="112"/>
      <c r="B384" s="122">
        <v>9257191</v>
      </c>
      <c r="C384" s="123" t="s">
        <v>489</v>
      </c>
      <c r="D384" s="124">
        <v>1</v>
      </c>
      <c r="E384" s="125"/>
      <c r="F384" s="126"/>
      <c r="G384" s="127">
        <v>44.609400000000001</v>
      </c>
      <c r="H384" s="128" t="str">
        <f t="shared" si="16"/>
        <v>CZK</v>
      </c>
      <c r="I384" s="129"/>
      <c r="J384" s="130" t="s">
        <v>27</v>
      </c>
      <c r="L384" s="75">
        <f>G384*(1-'FORM-I'!$V$22/100)</f>
        <v>44.609400000000001</v>
      </c>
      <c r="N384" s="11" t="e">
        <f>VLOOKUP(B384,$B$11:B383,1,FALSE)</f>
        <v>#N/A</v>
      </c>
    </row>
    <row r="385" spans="1:14">
      <c r="A385" s="112"/>
      <c r="B385" s="122">
        <v>9257192</v>
      </c>
      <c r="C385" s="123" t="s">
        <v>490</v>
      </c>
      <c r="D385" s="124">
        <v>1</v>
      </c>
      <c r="E385" s="125"/>
      <c r="F385" s="126"/>
      <c r="G385" s="127">
        <v>45.451799999999999</v>
      </c>
      <c r="H385" s="128" t="str">
        <f t="shared" si="16"/>
        <v>CZK</v>
      </c>
      <c r="I385" s="129"/>
      <c r="J385" s="130" t="s">
        <v>27</v>
      </c>
      <c r="L385" s="75">
        <f>G385*(1-'FORM-I'!$V$22/100)</f>
        <v>45.451799999999999</v>
      </c>
      <c r="N385" s="11" t="e">
        <f>VLOOKUP(B385,$B$11:B384,1,FALSE)</f>
        <v>#N/A</v>
      </c>
    </row>
    <row r="386" spans="1:14">
      <c r="A386" s="112"/>
      <c r="B386" s="165">
        <v>9257193</v>
      </c>
      <c r="C386" s="166" t="s">
        <v>491</v>
      </c>
      <c r="D386" s="167">
        <v>1</v>
      </c>
      <c r="E386" s="168"/>
      <c r="F386" s="169"/>
      <c r="G386" s="170">
        <v>46.597499999999997</v>
      </c>
      <c r="H386" s="171" t="str">
        <f t="shared" si="16"/>
        <v>CZK</v>
      </c>
      <c r="I386" s="172"/>
      <c r="J386" s="173" t="s">
        <v>27</v>
      </c>
      <c r="L386" s="75">
        <f>G386*(1-'FORM-I'!$V$22/100)</f>
        <v>46.597499999999997</v>
      </c>
      <c r="N386" s="11" t="e">
        <f>VLOOKUP(B386,$B$11:B385,1,FALSE)</f>
        <v>#N/A</v>
      </c>
    </row>
    <row r="387" spans="1:14">
      <c r="A387" s="67"/>
      <c r="B387" s="156">
        <v>9257131</v>
      </c>
      <c r="C387" s="157" t="s">
        <v>492</v>
      </c>
      <c r="D387" s="158">
        <v>10</v>
      </c>
      <c r="E387" s="159"/>
      <c r="F387" s="160"/>
      <c r="G387" s="161">
        <v>15.4534</v>
      </c>
      <c r="H387" s="162" t="str">
        <f>IF(G387="","",$H$10)</f>
        <v>CZK</v>
      </c>
      <c r="I387" s="163"/>
      <c r="J387" s="164" t="s">
        <v>27</v>
      </c>
      <c r="L387" s="75">
        <f>G387*(1-'FORM-I'!$V$22/100)</f>
        <v>15.4534</v>
      </c>
      <c r="N387" s="11" t="e">
        <f>VLOOKUP(B387,$B$11:B386,1,FALSE)</f>
        <v>#N/A</v>
      </c>
    </row>
    <row r="388" spans="1:14">
      <c r="A388" s="67"/>
      <c r="B388" s="122">
        <v>9257132</v>
      </c>
      <c r="C388" s="123" t="s">
        <v>493</v>
      </c>
      <c r="D388" s="124">
        <v>10</v>
      </c>
      <c r="E388" s="125"/>
      <c r="F388" s="126"/>
      <c r="G388" s="127">
        <v>15.4534</v>
      </c>
      <c r="H388" s="128" t="str">
        <f>IF(G388="","",$H$10)</f>
        <v>CZK</v>
      </c>
      <c r="I388" s="129"/>
      <c r="J388" s="130" t="s">
        <v>27</v>
      </c>
      <c r="L388" s="75">
        <f>G388*(1-'FORM-I'!$V$22/100)</f>
        <v>15.4534</v>
      </c>
      <c r="N388" s="11" t="e">
        <f>VLOOKUP(B388,$B$11:B387,1,FALSE)</f>
        <v>#N/A</v>
      </c>
    </row>
    <row r="389" spans="1:14">
      <c r="A389" s="67"/>
      <c r="B389" s="122">
        <v>9257133</v>
      </c>
      <c r="C389" s="123" t="s">
        <v>494</v>
      </c>
      <c r="D389" s="124">
        <v>10</v>
      </c>
      <c r="E389" s="125"/>
      <c r="F389" s="126"/>
      <c r="G389" s="127">
        <v>15.7325</v>
      </c>
      <c r="H389" s="128" t="str">
        <f t="shared" ref="H389:H394" si="17">IF(G389="","",$H$10)</f>
        <v>CZK</v>
      </c>
      <c r="I389" s="129"/>
      <c r="J389" s="130" t="s">
        <v>27</v>
      </c>
      <c r="L389" s="75">
        <f>G389*(1-'FORM-I'!$V$22/100)</f>
        <v>15.7325</v>
      </c>
      <c r="N389" s="11" t="e">
        <f>VLOOKUP(B389,$B$11:B388,1,FALSE)</f>
        <v>#N/A</v>
      </c>
    </row>
    <row r="390" spans="1:14">
      <c r="A390" s="67"/>
      <c r="B390" s="122">
        <v>9257134</v>
      </c>
      <c r="C390" s="123" t="s">
        <v>495</v>
      </c>
      <c r="D390" s="124">
        <v>10</v>
      </c>
      <c r="E390" s="125"/>
      <c r="F390" s="126"/>
      <c r="G390" s="127">
        <v>15.7325</v>
      </c>
      <c r="H390" s="128" t="str">
        <f t="shared" si="17"/>
        <v>CZK</v>
      </c>
      <c r="I390" s="129"/>
      <c r="J390" s="130" t="s">
        <v>27</v>
      </c>
      <c r="L390" s="75">
        <f>G390*(1-'FORM-I'!$V$22/100)</f>
        <v>15.7325</v>
      </c>
      <c r="N390" s="11" t="e">
        <f>VLOOKUP(B390,$B$11:B389,1,FALSE)</f>
        <v>#N/A</v>
      </c>
    </row>
    <row r="391" spans="1:14">
      <c r="A391" s="67"/>
      <c r="B391" s="122">
        <v>9257135</v>
      </c>
      <c r="C391" s="123" t="s">
        <v>496</v>
      </c>
      <c r="D391" s="124">
        <v>10</v>
      </c>
      <c r="E391" s="125"/>
      <c r="F391" s="126"/>
      <c r="G391" s="127">
        <v>16.0121</v>
      </c>
      <c r="H391" s="128" t="str">
        <f t="shared" si="17"/>
        <v>CZK</v>
      </c>
      <c r="I391" s="129"/>
      <c r="J391" s="130" t="s">
        <v>27</v>
      </c>
      <c r="L391" s="75">
        <f>G391*(1-'FORM-I'!$V$22/100)</f>
        <v>16.0121</v>
      </c>
      <c r="N391" s="11" t="e">
        <f>VLOOKUP(B391,$B$11:B390,1,FALSE)</f>
        <v>#N/A</v>
      </c>
    </row>
    <row r="392" spans="1:14">
      <c r="A392" s="67"/>
      <c r="B392" s="122">
        <v>9257136</v>
      </c>
      <c r="C392" s="123" t="s">
        <v>497</v>
      </c>
      <c r="D392" s="124">
        <v>10</v>
      </c>
      <c r="E392" s="125"/>
      <c r="F392" s="126"/>
      <c r="G392" s="127">
        <v>16.0121</v>
      </c>
      <c r="H392" s="128" t="str">
        <f t="shared" si="17"/>
        <v>CZK</v>
      </c>
      <c r="I392" s="129"/>
      <c r="J392" s="130" t="s">
        <v>27</v>
      </c>
      <c r="L392" s="75">
        <f>G392*(1-'FORM-I'!$V$22/100)</f>
        <v>16.0121</v>
      </c>
      <c r="N392" s="11" t="e">
        <f>VLOOKUP(B392,$B$11:B391,1,FALSE)</f>
        <v>#N/A</v>
      </c>
    </row>
    <row r="393" spans="1:14">
      <c r="A393" s="67"/>
      <c r="B393" s="122">
        <v>9257137</v>
      </c>
      <c r="C393" s="123" t="s">
        <v>498</v>
      </c>
      <c r="D393" s="124">
        <v>10</v>
      </c>
      <c r="E393" s="125"/>
      <c r="F393" s="126"/>
      <c r="G393" s="127">
        <v>16.2912</v>
      </c>
      <c r="H393" s="128" t="str">
        <f t="shared" si="17"/>
        <v>CZK</v>
      </c>
      <c r="I393" s="129"/>
      <c r="J393" s="130" t="s">
        <v>27</v>
      </c>
      <c r="L393" s="75">
        <f>G393*(1-'FORM-I'!$V$22/100)</f>
        <v>16.2912</v>
      </c>
      <c r="N393" s="11" t="e">
        <f>VLOOKUP(B393,$B$11:B392,1,FALSE)</f>
        <v>#N/A</v>
      </c>
    </row>
    <row r="394" spans="1:14">
      <c r="A394" s="67"/>
      <c r="B394" s="122">
        <v>9257138</v>
      </c>
      <c r="C394" s="123" t="s">
        <v>499</v>
      </c>
      <c r="D394" s="124">
        <v>10</v>
      </c>
      <c r="E394" s="125"/>
      <c r="F394" s="126"/>
      <c r="G394" s="127">
        <v>16.2912</v>
      </c>
      <c r="H394" s="128" t="str">
        <f t="shared" si="17"/>
        <v>CZK</v>
      </c>
      <c r="I394" s="129"/>
      <c r="J394" s="130" t="s">
        <v>27</v>
      </c>
      <c r="L394" s="75">
        <f>G394*(1-'FORM-I'!$V$22/100)</f>
        <v>16.2912</v>
      </c>
      <c r="N394" s="11" t="e">
        <f>VLOOKUP(B394,$B$11:B393,1,FALSE)</f>
        <v>#N/A</v>
      </c>
    </row>
    <row r="395" spans="1:14">
      <c r="A395" s="67"/>
      <c r="B395" s="122">
        <v>9257139</v>
      </c>
      <c r="C395" s="123" t="s">
        <v>500</v>
      </c>
      <c r="D395" s="124">
        <v>10</v>
      </c>
      <c r="E395" s="125"/>
      <c r="F395" s="126"/>
      <c r="G395" s="127">
        <v>16.5703</v>
      </c>
      <c r="H395" s="128" t="str">
        <f>IF(G395="","",$H$10)</f>
        <v>CZK</v>
      </c>
      <c r="I395" s="129"/>
      <c r="J395" s="130" t="s">
        <v>27</v>
      </c>
      <c r="L395" s="75">
        <f>G395*(1-'FORM-I'!$V$22/100)</f>
        <v>16.5703</v>
      </c>
      <c r="N395" s="11" t="e">
        <f>VLOOKUP(B395,$B$11:B394,1,FALSE)</f>
        <v>#N/A</v>
      </c>
    </row>
    <row r="396" spans="1:14">
      <c r="A396" s="67"/>
      <c r="B396" s="122">
        <v>9257140</v>
      </c>
      <c r="C396" s="123" t="s">
        <v>501</v>
      </c>
      <c r="D396" s="124">
        <v>10</v>
      </c>
      <c r="E396" s="125"/>
      <c r="F396" s="126"/>
      <c r="G396" s="127">
        <v>16.5703</v>
      </c>
      <c r="H396" s="128" t="str">
        <f>IF(G396="","",$H$10)</f>
        <v>CZK</v>
      </c>
      <c r="I396" s="129"/>
      <c r="J396" s="130" t="s">
        <v>27</v>
      </c>
      <c r="L396" s="75">
        <f>G396*(1-'FORM-I'!$V$22/100)</f>
        <v>16.5703</v>
      </c>
      <c r="N396" s="11" t="e">
        <f>VLOOKUP(B396,$B$11:B395,1,FALSE)</f>
        <v>#N/A</v>
      </c>
    </row>
    <row r="397" spans="1:14">
      <c r="A397" s="67"/>
      <c r="B397" s="122">
        <v>9257141</v>
      </c>
      <c r="C397" s="123" t="s">
        <v>502</v>
      </c>
      <c r="D397" s="124">
        <v>10</v>
      </c>
      <c r="E397" s="125"/>
      <c r="F397" s="126"/>
      <c r="G397" s="127">
        <v>16.991800000000001</v>
      </c>
      <c r="H397" s="128" t="str">
        <f t="shared" ref="H397:H431" si="18">IF(G397="","",$H$10)</f>
        <v>CZK</v>
      </c>
      <c r="I397" s="129"/>
      <c r="J397" s="130" t="s">
        <v>27</v>
      </c>
      <c r="L397" s="75">
        <f>G397*(1-'FORM-I'!$V$22/100)</f>
        <v>16.991800000000001</v>
      </c>
      <c r="N397" s="11" t="e">
        <f>VLOOKUP(B397,$B$11:B396,1,FALSE)</f>
        <v>#N/A</v>
      </c>
    </row>
    <row r="398" spans="1:14">
      <c r="A398" s="67"/>
      <c r="B398" s="122">
        <v>9257142</v>
      </c>
      <c r="C398" s="123" t="s">
        <v>503</v>
      </c>
      <c r="D398" s="124">
        <v>10</v>
      </c>
      <c r="E398" s="125"/>
      <c r="F398" s="126"/>
      <c r="G398" s="127">
        <v>16.991800000000001</v>
      </c>
      <c r="H398" s="128" t="str">
        <f t="shared" si="18"/>
        <v>CZK</v>
      </c>
      <c r="I398" s="129"/>
      <c r="J398" s="130" t="s">
        <v>27</v>
      </c>
      <c r="L398" s="75">
        <f>G398*(1-'FORM-I'!$V$22/100)</f>
        <v>16.991800000000001</v>
      </c>
      <c r="N398" s="11" t="e">
        <f>VLOOKUP(B398,$B$11:B397,1,FALSE)</f>
        <v>#N/A</v>
      </c>
    </row>
    <row r="399" spans="1:14">
      <c r="A399" s="67"/>
      <c r="B399" s="122">
        <v>9257143</v>
      </c>
      <c r="C399" s="123" t="s">
        <v>504</v>
      </c>
      <c r="D399" s="124">
        <v>10</v>
      </c>
      <c r="E399" s="125"/>
      <c r="F399" s="126"/>
      <c r="G399" s="127">
        <v>17.564399999999999</v>
      </c>
      <c r="H399" s="128" t="str">
        <f t="shared" si="18"/>
        <v>CZK</v>
      </c>
      <c r="I399" s="129"/>
      <c r="J399" s="130" t="s">
        <v>27</v>
      </c>
      <c r="L399" s="75">
        <f>G399*(1-'FORM-I'!$V$22/100)</f>
        <v>17.564399999999999</v>
      </c>
      <c r="N399" s="11" t="e">
        <f>VLOOKUP(B399,$B$11:B398,1,FALSE)</f>
        <v>#N/A</v>
      </c>
    </row>
    <row r="400" spans="1:14">
      <c r="A400" s="67"/>
      <c r="B400" s="165">
        <v>9257144</v>
      </c>
      <c r="C400" s="166" t="s">
        <v>505</v>
      </c>
      <c r="D400" s="167">
        <v>10</v>
      </c>
      <c r="E400" s="168"/>
      <c r="F400" s="169"/>
      <c r="G400" s="170">
        <v>17.564399999999999</v>
      </c>
      <c r="H400" s="171" t="str">
        <f t="shared" si="18"/>
        <v>CZK</v>
      </c>
      <c r="I400" s="172"/>
      <c r="J400" s="173" t="s">
        <v>27</v>
      </c>
      <c r="L400" s="75">
        <f>G400*(1-'FORM-I'!$V$22/100)</f>
        <v>17.564399999999999</v>
      </c>
      <c r="N400" s="11" t="e">
        <f>VLOOKUP(B400,$B$11:B399,1,FALSE)</f>
        <v>#N/A</v>
      </c>
    </row>
    <row r="401" spans="1:14">
      <c r="A401" s="102"/>
      <c r="B401" s="156">
        <v>9257145</v>
      </c>
      <c r="C401" s="157" t="s">
        <v>506</v>
      </c>
      <c r="D401" s="158">
        <v>10</v>
      </c>
      <c r="E401" s="159"/>
      <c r="F401" s="160"/>
      <c r="G401" s="161">
        <v>15.4534</v>
      </c>
      <c r="H401" s="162" t="str">
        <f t="shared" si="18"/>
        <v>CZK</v>
      </c>
      <c r="I401" s="163"/>
      <c r="J401" s="164" t="s">
        <v>27</v>
      </c>
      <c r="L401" s="75">
        <f>G401*(1-'FORM-I'!$V$22/100)</f>
        <v>15.4534</v>
      </c>
      <c r="N401" s="11" t="e">
        <f>VLOOKUP(B401,$B$11:B400,1,FALSE)</f>
        <v>#N/A</v>
      </c>
    </row>
    <row r="402" spans="1:14">
      <c r="A402" s="102"/>
      <c r="B402" s="122">
        <v>9257146</v>
      </c>
      <c r="C402" s="123" t="s">
        <v>507</v>
      </c>
      <c r="D402" s="124">
        <v>10</v>
      </c>
      <c r="E402" s="125"/>
      <c r="F402" s="126"/>
      <c r="G402" s="127">
        <v>15.4534</v>
      </c>
      <c r="H402" s="128" t="str">
        <f t="shared" si="18"/>
        <v>CZK</v>
      </c>
      <c r="I402" s="129"/>
      <c r="J402" s="130" t="s">
        <v>27</v>
      </c>
      <c r="L402" s="75">
        <f>G402*(1-'FORM-I'!$V$22/100)</f>
        <v>15.4534</v>
      </c>
      <c r="N402" s="11" t="e">
        <f>VLOOKUP(B402,$B$11:B401,1,FALSE)</f>
        <v>#N/A</v>
      </c>
    </row>
    <row r="403" spans="1:14">
      <c r="A403" s="102"/>
      <c r="B403" s="122">
        <v>9257147</v>
      </c>
      <c r="C403" s="123" t="s">
        <v>508</v>
      </c>
      <c r="D403" s="124">
        <v>10</v>
      </c>
      <c r="E403" s="125"/>
      <c r="F403" s="126"/>
      <c r="G403" s="127">
        <v>15.7325</v>
      </c>
      <c r="H403" s="128" t="str">
        <f t="shared" si="18"/>
        <v>CZK</v>
      </c>
      <c r="I403" s="129"/>
      <c r="J403" s="130" t="s">
        <v>27</v>
      </c>
      <c r="L403" s="75">
        <f>G403*(1-'FORM-I'!$V$22/100)</f>
        <v>15.7325</v>
      </c>
      <c r="N403" s="11" t="e">
        <f>VLOOKUP(B403,$B$11:B402,1,FALSE)</f>
        <v>#N/A</v>
      </c>
    </row>
    <row r="404" spans="1:14">
      <c r="A404" s="102"/>
      <c r="B404" s="122">
        <v>9257148</v>
      </c>
      <c r="C404" s="123" t="s">
        <v>509</v>
      </c>
      <c r="D404" s="124">
        <v>10</v>
      </c>
      <c r="E404" s="125"/>
      <c r="F404" s="126"/>
      <c r="G404" s="127">
        <v>15.7325</v>
      </c>
      <c r="H404" s="128" t="str">
        <f t="shared" si="18"/>
        <v>CZK</v>
      </c>
      <c r="I404" s="129"/>
      <c r="J404" s="130" t="s">
        <v>27</v>
      </c>
      <c r="L404" s="75">
        <f>G404*(1-'FORM-I'!$V$22/100)</f>
        <v>15.7325</v>
      </c>
      <c r="N404" s="11" t="e">
        <f>VLOOKUP(B404,$B$11:B403,1,FALSE)</f>
        <v>#N/A</v>
      </c>
    </row>
    <row r="405" spans="1:14">
      <c r="A405" s="102"/>
      <c r="B405" s="122">
        <v>9257149</v>
      </c>
      <c r="C405" s="123" t="s">
        <v>510</v>
      </c>
      <c r="D405" s="124">
        <v>10</v>
      </c>
      <c r="E405" s="125"/>
      <c r="F405" s="126"/>
      <c r="G405" s="127">
        <v>16.0121</v>
      </c>
      <c r="H405" s="128" t="str">
        <f t="shared" si="18"/>
        <v>CZK</v>
      </c>
      <c r="I405" s="129"/>
      <c r="J405" s="130" t="s">
        <v>27</v>
      </c>
      <c r="L405" s="75">
        <f>G405*(1-'FORM-I'!$V$22/100)</f>
        <v>16.0121</v>
      </c>
      <c r="N405" s="11" t="e">
        <f>VLOOKUP(B405,$B$11:B404,1,FALSE)</f>
        <v>#N/A</v>
      </c>
    </row>
    <row r="406" spans="1:14">
      <c r="A406" s="102"/>
      <c r="B406" s="122">
        <v>9257150</v>
      </c>
      <c r="C406" s="123" t="s">
        <v>511</v>
      </c>
      <c r="D406" s="124">
        <v>10</v>
      </c>
      <c r="E406" s="125"/>
      <c r="F406" s="126"/>
      <c r="G406" s="127">
        <v>16.0121</v>
      </c>
      <c r="H406" s="128" t="str">
        <f t="shared" si="18"/>
        <v>CZK</v>
      </c>
      <c r="I406" s="129"/>
      <c r="J406" s="130" t="s">
        <v>27</v>
      </c>
      <c r="L406" s="75">
        <f>G406*(1-'FORM-I'!$V$22/100)</f>
        <v>16.0121</v>
      </c>
      <c r="N406" s="11" t="e">
        <f>VLOOKUP(B406,$B$11:B405,1,FALSE)</f>
        <v>#N/A</v>
      </c>
    </row>
    <row r="407" spans="1:14">
      <c r="A407" s="102"/>
      <c r="B407" s="122">
        <v>9257151</v>
      </c>
      <c r="C407" s="123" t="s">
        <v>512</v>
      </c>
      <c r="D407" s="124">
        <v>10</v>
      </c>
      <c r="E407" s="125"/>
      <c r="F407" s="126"/>
      <c r="G407" s="127">
        <v>16.2912</v>
      </c>
      <c r="H407" s="128" t="str">
        <f t="shared" si="18"/>
        <v>CZK</v>
      </c>
      <c r="I407" s="129"/>
      <c r="J407" s="130" t="s">
        <v>27</v>
      </c>
      <c r="L407" s="75">
        <f>G407*(1-'FORM-I'!$V$22/100)</f>
        <v>16.2912</v>
      </c>
      <c r="N407" s="11" t="e">
        <f>VLOOKUP(B407,$B$11:B406,1,FALSE)</f>
        <v>#N/A</v>
      </c>
    </row>
    <row r="408" spans="1:14">
      <c r="A408" s="102"/>
      <c r="B408" s="122">
        <v>9257152</v>
      </c>
      <c r="C408" s="123" t="s">
        <v>513</v>
      </c>
      <c r="D408" s="124">
        <v>10</v>
      </c>
      <c r="E408" s="125"/>
      <c r="F408" s="126"/>
      <c r="G408" s="127">
        <v>16.2912</v>
      </c>
      <c r="H408" s="128" t="str">
        <f t="shared" si="18"/>
        <v>CZK</v>
      </c>
      <c r="I408" s="129"/>
      <c r="J408" s="130" t="s">
        <v>27</v>
      </c>
      <c r="L408" s="75">
        <f>G408*(1-'FORM-I'!$V$22/100)</f>
        <v>16.2912</v>
      </c>
      <c r="N408" s="11" t="e">
        <f>VLOOKUP(B408,$B$11:B407,1,FALSE)</f>
        <v>#N/A</v>
      </c>
    </row>
    <row r="409" spans="1:14">
      <c r="A409" s="102"/>
      <c r="B409" s="122">
        <v>9257153</v>
      </c>
      <c r="C409" s="123" t="s">
        <v>514</v>
      </c>
      <c r="D409" s="124">
        <v>10</v>
      </c>
      <c r="E409" s="125"/>
      <c r="F409" s="126"/>
      <c r="G409" s="127">
        <v>16.5703</v>
      </c>
      <c r="H409" s="128" t="str">
        <f t="shared" si="18"/>
        <v>CZK</v>
      </c>
      <c r="I409" s="129"/>
      <c r="J409" s="130" t="s">
        <v>27</v>
      </c>
      <c r="L409" s="75">
        <f>G409*(1-'FORM-I'!$V$22/100)</f>
        <v>16.5703</v>
      </c>
      <c r="N409" s="11" t="e">
        <f>VLOOKUP(B409,$B$11:B408,1,FALSE)</f>
        <v>#N/A</v>
      </c>
    </row>
    <row r="410" spans="1:14">
      <c r="A410" s="102"/>
      <c r="B410" s="122">
        <v>9257154</v>
      </c>
      <c r="C410" s="123" t="s">
        <v>515</v>
      </c>
      <c r="D410" s="124">
        <v>10</v>
      </c>
      <c r="E410" s="125"/>
      <c r="F410" s="126"/>
      <c r="G410" s="127">
        <v>16.5703</v>
      </c>
      <c r="H410" s="128" t="str">
        <f t="shared" si="18"/>
        <v>CZK</v>
      </c>
      <c r="I410" s="129"/>
      <c r="J410" s="130" t="s">
        <v>27</v>
      </c>
      <c r="L410" s="75">
        <f>G410*(1-'FORM-I'!$V$22/100)</f>
        <v>16.5703</v>
      </c>
      <c r="N410" s="11" t="e">
        <f>VLOOKUP(B410,$B$11:B409,1,FALSE)</f>
        <v>#N/A</v>
      </c>
    </row>
    <row r="411" spans="1:14">
      <c r="A411" s="102"/>
      <c r="B411" s="122">
        <v>9257155</v>
      </c>
      <c r="C411" s="123" t="s">
        <v>516</v>
      </c>
      <c r="D411" s="124">
        <v>10</v>
      </c>
      <c r="E411" s="125"/>
      <c r="F411" s="126"/>
      <c r="G411" s="127">
        <v>16.991800000000001</v>
      </c>
      <c r="H411" s="128" t="str">
        <f t="shared" si="18"/>
        <v>CZK</v>
      </c>
      <c r="I411" s="129"/>
      <c r="J411" s="130" t="s">
        <v>27</v>
      </c>
      <c r="L411" s="75">
        <f>G411*(1-'FORM-I'!$V$22/100)</f>
        <v>16.991800000000001</v>
      </c>
      <c r="N411" s="11" t="e">
        <f>VLOOKUP(B411,$B$11:B410,1,FALSE)</f>
        <v>#N/A</v>
      </c>
    </row>
    <row r="412" spans="1:14">
      <c r="A412" s="102"/>
      <c r="B412" s="122">
        <v>9257156</v>
      </c>
      <c r="C412" s="123" t="s">
        <v>517</v>
      </c>
      <c r="D412" s="124">
        <v>10</v>
      </c>
      <c r="E412" s="125"/>
      <c r="F412" s="126"/>
      <c r="G412" s="127">
        <v>16.991800000000001</v>
      </c>
      <c r="H412" s="128" t="str">
        <f t="shared" si="18"/>
        <v>CZK</v>
      </c>
      <c r="I412" s="129"/>
      <c r="J412" s="130" t="s">
        <v>27</v>
      </c>
      <c r="L412" s="75">
        <f>G412*(1-'FORM-I'!$V$22/100)</f>
        <v>16.991800000000001</v>
      </c>
      <c r="N412" s="11" t="e">
        <f>VLOOKUP(B412,$B$11:B411,1,FALSE)</f>
        <v>#N/A</v>
      </c>
    </row>
    <row r="413" spans="1:14">
      <c r="A413" s="102"/>
      <c r="B413" s="122">
        <v>9257157</v>
      </c>
      <c r="C413" s="123" t="s">
        <v>518</v>
      </c>
      <c r="D413" s="124">
        <v>10</v>
      </c>
      <c r="E413" s="125"/>
      <c r="F413" s="126"/>
      <c r="G413" s="127">
        <v>17.564399999999999</v>
      </c>
      <c r="H413" s="128" t="str">
        <f t="shared" si="18"/>
        <v>CZK</v>
      </c>
      <c r="I413" s="129"/>
      <c r="J413" s="130" t="s">
        <v>27</v>
      </c>
      <c r="L413" s="75">
        <f>G413*(1-'FORM-I'!$V$22/100)</f>
        <v>17.564399999999999</v>
      </c>
      <c r="N413" s="11" t="e">
        <f>VLOOKUP(B413,$B$11:B412,1,FALSE)</f>
        <v>#N/A</v>
      </c>
    </row>
    <row r="414" spans="1:14">
      <c r="A414" s="102"/>
      <c r="B414" s="165">
        <v>9257158</v>
      </c>
      <c r="C414" s="166" t="s">
        <v>519</v>
      </c>
      <c r="D414" s="167">
        <v>10</v>
      </c>
      <c r="E414" s="168"/>
      <c r="F414" s="169"/>
      <c r="G414" s="170">
        <v>17.564399999999999</v>
      </c>
      <c r="H414" s="171" t="str">
        <f t="shared" si="18"/>
        <v>CZK</v>
      </c>
      <c r="I414" s="172"/>
      <c r="J414" s="173" t="s">
        <v>27</v>
      </c>
      <c r="L414" s="75">
        <f>G414*(1-'FORM-I'!$V$22/100)</f>
        <v>17.564399999999999</v>
      </c>
      <c r="N414" s="11" t="e">
        <f>VLOOKUP(B414,$B$11:B413,1,FALSE)</f>
        <v>#N/A</v>
      </c>
    </row>
    <row r="415" spans="1:14">
      <c r="A415" s="112"/>
      <c r="B415" s="156">
        <v>9257159</v>
      </c>
      <c r="C415" s="157" t="s">
        <v>520</v>
      </c>
      <c r="D415" s="158">
        <v>10</v>
      </c>
      <c r="E415" s="159"/>
      <c r="F415" s="160"/>
      <c r="G415" s="161">
        <v>15.4534</v>
      </c>
      <c r="H415" s="162" t="str">
        <f t="shared" si="18"/>
        <v>CZK</v>
      </c>
      <c r="I415" s="163"/>
      <c r="J415" s="164" t="s">
        <v>27</v>
      </c>
      <c r="L415" s="75">
        <f>G415*(1-'FORM-I'!$V$22/100)</f>
        <v>15.4534</v>
      </c>
      <c r="N415" s="11" t="e">
        <f>VLOOKUP(B415,$B$11:B414,1,FALSE)</f>
        <v>#N/A</v>
      </c>
    </row>
    <row r="416" spans="1:14">
      <c r="A416" s="112"/>
      <c r="B416" s="122">
        <v>9257160</v>
      </c>
      <c r="C416" s="123" t="s">
        <v>521</v>
      </c>
      <c r="D416" s="124">
        <v>10</v>
      </c>
      <c r="E416" s="125"/>
      <c r="F416" s="126"/>
      <c r="G416" s="127">
        <v>15.4534</v>
      </c>
      <c r="H416" s="128" t="str">
        <f t="shared" si="18"/>
        <v>CZK</v>
      </c>
      <c r="I416" s="129"/>
      <c r="J416" s="130" t="s">
        <v>27</v>
      </c>
      <c r="L416" s="75">
        <f>G416*(1-'FORM-I'!$V$22/100)</f>
        <v>15.4534</v>
      </c>
      <c r="N416" s="11" t="e">
        <f>VLOOKUP(B416,$B$11:B415,1,FALSE)</f>
        <v>#N/A</v>
      </c>
    </row>
    <row r="417" spans="1:14">
      <c r="A417" s="112"/>
      <c r="B417" s="122">
        <v>9257161</v>
      </c>
      <c r="C417" s="123" t="s">
        <v>522</v>
      </c>
      <c r="D417" s="124">
        <v>10</v>
      </c>
      <c r="E417" s="125"/>
      <c r="F417" s="126"/>
      <c r="G417" s="127">
        <v>15.7325</v>
      </c>
      <c r="H417" s="128" t="str">
        <f t="shared" si="18"/>
        <v>CZK</v>
      </c>
      <c r="I417" s="129"/>
      <c r="J417" s="130" t="s">
        <v>27</v>
      </c>
      <c r="L417" s="75">
        <f>G417*(1-'FORM-I'!$V$22/100)</f>
        <v>15.7325</v>
      </c>
      <c r="N417" s="11" t="e">
        <f>VLOOKUP(B417,$B$11:B416,1,FALSE)</f>
        <v>#N/A</v>
      </c>
    </row>
    <row r="418" spans="1:14">
      <c r="A418" s="112"/>
      <c r="B418" s="122">
        <v>9257162</v>
      </c>
      <c r="C418" s="123" t="s">
        <v>523</v>
      </c>
      <c r="D418" s="124">
        <v>10</v>
      </c>
      <c r="E418" s="125"/>
      <c r="F418" s="126"/>
      <c r="G418" s="127">
        <v>15.7325</v>
      </c>
      <c r="H418" s="128" t="str">
        <f t="shared" si="18"/>
        <v>CZK</v>
      </c>
      <c r="I418" s="129"/>
      <c r="J418" s="130" t="s">
        <v>27</v>
      </c>
      <c r="L418" s="75">
        <f>G418*(1-'FORM-I'!$V$22/100)</f>
        <v>15.7325</v>
      </c>
      <c r="N418" s="11" t="e">
        <f>VLOOKUP(B418,$B$11:B417,1,FALSE)</f>
        <v>#N/A</v>
      </c>
    </row>
    <row r="419" spans="1:14">
      <c r="A419" s="112"/>
      <c r="B419" s="122">
        <v>9257163</v>
      </c>
      <c r="C419" s="123" t="s">
        <v>524</v>
      </c>
      <c r="D419" s="124">
        <v>10</v>
      </c>
      <c r="E419" s="125"/>
      <c r="F419" s="126"/>
      <c r="G419" s="127">
        <v>16.0121</v>
      </c>
      <c r="H419" s="128" t="str">
        <f t="shared" si="18"/>
        <v>CZK</v>
      </c>
      <c r="I419" s="129"/>
      <c r="J419" s="130" t="s">
        <v>27</v>
      </c>
      <c r="L419" s="75">
        <f>G419*(1-'FORM-I'!$V$22/100)</f>
        <v>16.0121</v>
      </c>
      <c r="N419" s="11" t="e">
        <f>VLOOKUP(B419,$B$11:B418,1,FALSE)</f>
        <v>#N/A</v>
      </c>
    </row>
    <row r="420" spans="1:14">
      <c r="A420" s="112"/>
      <c r="B420" s="122">
        <v>9257164</v>
      </c>
      <c r="C420" s="123" t="s">
        <v>525</v>
      </c>
      <c r="D420" s="124">
        <v>10</v>
      </c>
      <c r="E420" s="125"/>
      <c r="F420" s="126"/>
      <c r="G420" s="127">
        <v>16.0121</v>
      </c>
      <c r="H420" s="128" t="str">
        <f t="shared" si="18"/>
        <v>CZK</v>
      </c>
      <c r="I420" s="129"/>
      <c r="J420" s="130" t="s">
        <v>27</v>
      </c>
      <c r="L420" s="75">
        <f>G420*(1-'FORM-I'!$V$22/100)</f>
        <v>16.0121</v>
      </c>
      <c r="N420" s="11" t="e">
        <f>VLOOKUP(B420,$B$11:B419,1,FALSE)</f>
        <v>#N/A</v>
      </c>
    </row>
    <row r="421" spans="1:14">
      <c r="A421" s="112"/>
      <c r="B421" s="122">
        <v>9257165</v>
      </c>
      <c r="C421" s="123" t="s">
        <v>526</v>
      </c>
      <c r="D421" s="124">
        <v>10</v>
      </c>
      <c r="E421" s="125"/>
      <c r="F421" s="126"/>
      <c r="G421" s="127">
        <v>16.2912</v>
      </c>
      <c r="H421" s="128" t="str">
        <f t="shared" si="18"/>
        <v>CZK</v>
      </c>
      <c r="I421" s="129"/>
      <c r="J421" s="130" t="s">
        <v>27</v>
      </c>
      <c r="L421" s="75">
        <f>G421*(1-'FORM-I'!$V$22/100)</f>
        <v>16.2912</v>
      </c>
      <c r="N421" s="11" t="e">
        <f>VLOOKUP(B421,$B$11:B420,1,FALSE)</f>
        <v>#N/A</v>
      </c>
    </row>
    <row r="422" spans="1:14">
      <c r="A422" s="112"/>
      <c r="B422" s="122">
        <v>9257166</v>
      </c>
      <c r="C422" s="123" t="s">
        <v>527</v>
      </c>
      <c r="D422" s="124">
        <v>10</v>
      </c>
      <c r="E422" s="125"/>
      <c r="F422" s="126"/>
      <c r="G422" s="127">
        <v>16.2912</v>
      </c>
      <c r="H422" s="128" t="str">
        <f t="shared" si="18"/>
        <v>CZK</v>
      </c>
      <c r="I422" s="129"/>
      <c r="J422" s="130" t="s">
        <v>27</v>
      </c>
      <c r="L422" s="75">
        <f>G422*(1-'FORM-I'!$V$22/100)</f>
        <v>16.2912</v>
      </c>
      <c r="N422" s="11" t="e">
        <f>VLOOKUP(B422,$B$11:B421,1,FALSE)</f>
        <v>#N/A</v>
      </c>
    </row>
    <row r="423" spans="1:14">
      <c r="A423" s="112"/>
      <c r="B423" s="122">
        <v>9257167</v>
      </c>
      <c r="C423" s="123" t="s">
        <v>528</v>
      </c>
      <c r="D423" s="124">
        <v>10</v>
      </c>
      <c r="E423" s="125"/>
      <c r="F423" s="126"/>
      <c r="G423" s="127">
        <v>16.5703</v>
      </c>
      <c r="H423" s="128" t="str">
        <f t="shared" si="18"/>
        <v>CZK</v>
      </c>
      <c r="I423" s="129"/>
      <c r="J423" s="130" t="s">
        <v>27</v>
      </c>
      <c r="L423" s="75">
        <f>G423*(1-'FORM-I'!$V$22/100)</f>
        <v>16.5703</v>
      </c>
      <c r="N423" s="11" t="e">
        <f>VLOOKUP(B423,$B$11:B422,1,FALSE)</f>
        <v>#N/A</v>
      </c>
    </row>
    <row r="424" spans="1:14">
      <c r="A424" s="112"/>
      <c r="B424" s="122">
        <v>9257168</v>
      </c>
      <c r="C424" s="123" t="s">
        <v>529</v>
      </c>
      <c r="D424" s="124">
        <v>10</v>
      </c>
      <c r="E424" s="125"/>
      <c r="F424" s="126"/>
      <c r="G424" s="127">
        <v>16.5703</v>
      </c>
      <c r="H424" s="128" t="str">
        <f t="shared" si="18"/>
        <v>CZK</v>
      </c>
      <c r="I424" s="129"/>
      <c r="J424" s="130" t="s">
        <v>27</v>
      </c>
      <c r="L424" s="75">
        <f>G424*(1-'FORM-I'!$V$22/100)</f>
        <v>16.5703</v>
      </c>
      <c r="N424" s="11" t="e">
        <f>VLOOKUP(B424,$B$11:B423,1,FALSE)</f>
        <v>#N/A</v>
      </c>
    </row>
    <row r="425" spans="1:14">
      <c r="A425" s="112"/>
      <c r="B425" s="122">
        <v>9257169</v>
      </c>
      <c r="C425" s="123" t="s">
        <v>530</v>
      </c>
      <c r="D425" s="124">
        <v>10</v>
      </c>
      <c r="E425" s="125"/>
      <c r="F425" s="126"/>
      <c r="G425" s="127">
        <v>16.991800000000001</v>
      </c>
      <c r="H425" s="128" t="str">
        <f t="shared" si="18"/>
        <v>CZK</v>
      </c>
      <c r="I425" s="129"/>
      <c r="J425" s="130" t="s">
        <v>27</v>
      </c>
      <c r="L425" s="75">
        <f>G425*(1-'FORM-I'!$V$22/100)</f>
        <v>16.991800000000001</v>
      </c>
      <c r="N425" s="11" t="e">
        <f>VLOOKUP(B425,$B$11:B424,1,FALSE)</f>
        <v>#N/A</v>
      </c>
    </row>
    <row r="426" spans="1:14">
      <c r="A426" s="112"/>
      <c r="B426" s="122">
        <v>9257170</v>
      </c>
      <c r="C426" s="123" t="s">
        <v>531</v>
      </c>
      <c r="D426" s="124">
        <v>10</v>
      </c>
      <c r="E426" s="125"/>
      <c r="F426" s="126"/>
      <c r="G426" s="127">
        <v>16.991800000000001</v>
      </c>
      <c r="H426" s="128" t="str">
        <f t="shared" si="18"/>
        <v>CZK</v>
      </c>
      <c r="I426" s="129"/>
      <c r="J426" s="130" t="s">
        <v>27</v>
      </c>
      <c r="L426" s="75">
        <f>G426*(1-'FORM-I'!$V$22/100)</f>
        <v>16.991800000000001</v>
      </c>
      <c r="N426" s="11" t="e">
        <f>VLOOKUP(B426,$B$11:B425,1,FALSE)</f>
        <v>#N/A</v>
      </c>
    </row>
    <row r="427" spans="1:14">
      <c r="A427" s="112"/>
      <c r="B427" s="122">
        <v>9257171</v>
      </c>
      <c r="C427" s="123" t="s">
        <v>532</v>
      </c>
      <c r="D427" s="124">
        <v>10</v>
      </c>
      <c r="E427" s="125"/>
      <c r="F427" s="126"/>
      <c r="G427" s="127">
        <v>17.564399999999999</v>
      </c>
      <c r="H427" s="128" t="str">
        <f t="shared" si="18"/>
        <v>CZK</v>
      </c>
      <c r="I427" s="129"/>
      <c r="J427" s="130" t="s">
        <v>27</v>
      </c>
      <c r="L427" s="75">
        <f>G427*(1-'FORM-I'!$V$22/100)</f>
        <v>17.564399999999999</v>
      </c>
      <c r="N427" s="11" t="e">
        <f>VLOOKUP(B427,$B$11:B426,1,FALSE)</f>
        <v>#N/A</v>
      </c>
    </row>
    <row r="428" spans="1:14">
      <c r="A428" s="112"/>
      <c r="B428" s="165">
        <v>9257172</v>
      </c>
      <c r="C428" s="166" t="s">
        <v>533</v>
      </c>
      <c r="D428" s="167">
        <v>10</v>
      </c>
      <c r="E428" s="168"/>
      <c r="F428" s="169"/>
      <c r="G428" s="170">
        <v>17.564399999999999</v>
      </c>
      <c r="H428" s="171" t="str">
        <f t="shared" si="18"/>
        <v>CZK</v>
      </c>
      <c r="I428" s="172"/>
      <c r="J428" s="173" t="s">
        <v>27</v>
      </c>
      <c r="L428" s="75">
        <f>G428*(1-'FORM-I'!$V$22/100)</f>
        <v>17.564399999999999</v>
      </c>
      <c r="N428" s="11" t="e">
        <f>VLOOKUP(B428,$B$11:B427,1,FALSE)</f>
        <v>#N/A</v>
      </c>
    </row>
    <row r="429" spans="1:14">
      <c r="B429" s="156">
        <v>9257257</v>
      </c>
      <c r="C429" s="157" t="s">
        <v>534</v>
      </c>
      <c r="D429" s="158">
        <v>100</v>
      </c>
      <c r="E429" s="159"/>
      <c r="F429" s="160"/>
      <c r="G429" s="161">
        <v>2.5282</v>
      </c>
      <c r="H429" s="162" t="str">
        <f t="shared" si="18"/>
        <v>CZK</v>
      </c>
      <c r="I429" s="163"/>
      <c r="J429" s="164" t="s">
        <v>27</v>
      </c>
      <c r="L429" s="75">
        <f>G429*(1-'FORM-I'!$V$22/100)</f>
        <v>2.5282</v>
      </c>
      <c r="N429" s="11" t="e">
        <f>VLOOKUP(B429,$B$11:B428,1,FALSE)</f>
        <v>#N/A</v>
      </c>
    </row>
    <row r="430" spans="1:14">
      <c r="B430" s="122">
        <v>9257258</v>
      </c>
      <c r="C430" s="123" t="s">
        <v>535</v>
      </c>
      <c r="D430" s="124">
        <v>100</v>
      </c>
      <c r="E430" s="125"/>
      <c r="F430" s="126"/>
      <c r="G430" s="127">
        <v>2.5592999999999999</v>
      </c>
      <c r="H430" s="128" t="str">
        <f t="shared" si="18"/>
        <v>CZK</v>
      </c>
      <c r="I430" s="129"/>
      <c r="J430" s="130" t="s">
        <v>27</v>
      </c>
      <c r="L430" s="75">
        <f>G430*(1-'FORM-I'!$V$22/100)</f>
        <v>2.5592999999999999</v>
      </c>
      <c r="N430" s="11" t="e">
        <f>VLOOKUP(B430,$B$11:B429,1,FALSE)</f>
        <v>#N/A</v>
      </c>
    </row>
    <row r="431" spans="1:14">
      <c r="B431" s="165">
        <v>9268677</v>
      </c>
      <c r="C431" s="166" t="s">
        <v>536</v>
      </c>
      <c r="D431" s="167">
        <v>1</v>
      </c>
      <c r="E431" s="168"/>
      <c r="F431" s="169"/>
      <c r="G431" s="170">
        <v>1.2642</v>
      </c>
      <c r="H431" s="171" t="str">
        <f t="shared" si="18"/>
        <v>CZK</v>
      </c>
      <c r="I431" s="172"/>
      <c r="J431" s="173" t="s">
        <v>27</v>
      </c>
      <c r="L431" s="75">
        <f>G431*(1-'FORM-I'!$V$22/100)</f>
        <v>1.2642</v>
      </c>
      <c r="N431" s="11" t="e">
        <f>VLOOKUP(B431,$B$11:B430,1,FALSE)</f>
        <v>#N/A</v>
      </c>
    </row>
    <row r="432" spans="1:14">
      <c r="B432" s="165"/>
      <c r="C432" s="166"/>
      <c r="D432" s="167"/>
      <c r="E432" s="168"/>
      <c r="F432" s="169"/>
      <c r="G432" s="170"/>
      <c r="H432" s="171"/>
      <c r="I432" s="172"/>
      <c r="J432" s="173" t="s">
        <v>27</v>
      </c>
      <c r="L432" s="75">
        <f>G432*(1-'FORM-I'!$V$22/100)</f>
        <v>0</v>
      </c>
      <c r="N432" s="11" t="e">
        <f>VLOOKUP(B432,$B$11:B431,1,FALSE)</f>
        <v>#N/A</v>
      </c>
    </row>
    <row r="433" spans="1:14">
      <c r="A433" s="67"/>
      <c r="B433" s="156">
        <v>9257269</v>
      </c>
      <c r="C433" s="157" t="s">
        <v>537</v>
      </c>
      <c r="D433" s="158">
        <v>1</v>
      </c>
      <c r="E433" s="159"/>
      <c r="F433" s="160"/>
      <c r="G433" s="161">
        <v>67.628200000000007</v>
      </c>
      <c r="H433" s="162" t="str">
        <f t="shared" ref="H433:H444" si="19">IF(G433="","",$H$10)</f>
        <v>CZK</v>
      </c>
      <c r="I433" s="163"/>
      <c r="J433" s="164" t="s">
        <v>27</v>
      </c>
      <c r="L433" s="75">
        <f>G433*(1-'FORM-I'!$V$22/100)</f>
        <v>67.628200000000007</v>
      </c>
      <c r="N433" s="11" t="e">
        <f>VLOOKUP(B433,$B$11:B432,1,FALSE)</f>
        <v>#N/A</v>
      </c>
    </row>
    <row r="434" spans="1:14">
      <c r="A434" s="67"/>
      <c r="B434" s="122">
        <v>9257270</v>
      </c>
      <c r="C434" s="123" t="s">
        <v>538</v>
      </c>
      <c r="D434" s="124">
        <v>1</v>
      </c>
      <c r="E434" s="125"/>
      <c r="F434" s="126"/>
      <c r="G434" s="127">
        <v>80.900899999999993</v>
      </c>
      <c r="H434" s="128" t="str">
        <f t="shared" si="19"/>
        <v>CZK</v>
      </c>
      <c r="I434" s="129"/>
      <c r="J434" s="130" t="s">
        <v>27</v>
      </c>
      <c r="L434" s="75">
        <f>G434*(1-'FORM-I'!$V$22/100)</f>
        <v>80.900899999999993</v>
      </c>
      <c r="N434" s="11" t="e">
        <f>VLOOKUP(B434,$B$11:B433,1,FALSE)</f>
        <v>#N/A</v>
      </c>
    </row>
    <row r="435" spans="1:14">
      <c r="A435" s="67"/>
      <c r="B435" s="165">
        <v>9257271</v>
      </c>
      <c r="C435" s="166" t="s">
        <v>539</v>
      </c>
      <c r="D435" s="167">
        <v>1</v>
      </c>
      <c r="E435" s="168"/>
      <c r="F435" s="169"/>
      <c r="G435" s="170">
        <v>101.1262</v>
      </c>
      <c r="H435" s="171" t="str">
        <f t="shared" si="19"/>
        <v>CZK</v>
      </c>
      <c r="I435" s="172"/>
      <c r="J435" s="173" t="s">
        <v>27</v>
      </c>
      <c r="L435" s="75">
        <f>G435*(1-'FORM-I'!$V$22/100)</f>
        <v>101.1262</v>
      </c>
      <c r="N435" s="11" t="e">
        <f>VLOOKUP(B435,$B$11:B434,1,FALSE)</f>
        <v>#N/A</v>
      </c>
    </row>
    <row r="436" spans="1:14">
      <c r="A436" s="102"/>
      <c r="B436" s="156">
        <v>9257273</v>
      </c>
      <c r="C436" s="157" t="s">
        <v>540</v>
      </c>
      <c r="D436" s="158">
        <v>1</v>
      </c>
      <c r="E436" s="159"/>
      <c r="F436" s="160"/>
      <c r="G436" s="161">
        <v>67.628200000000007</v>
      </c>
      <c r="H436" s="162" t="str">
        <f t="shared" si="19"/>
        <v>CZK</v>
      </c>
      <c r="I436" s="163"/>
      <c r="J436" s="164" t="s">
        <v>27</v>
      </c>
      <c r="L436" s="75">
        <f>G436*(1-'FORM-I'!$V$22/100)</f>
        <v>67.628200000000007</v>
      </c>
      <c r="N436" s="11" t="e">
        <f>VLOOKUP(B436,$B$11:B435,1,FALSE)</f>
        <v>#N/A</v>
      </c>
    </row>
    <row r="437" spans="1:14">
      <c r="A437" s="102"/>
      <c r="B437" s="122">
        <v>9257274</v>
      </c>
      <c r="C437" s="123" t="s">
        <v>541</v>
      </c>
      <c r="D437" s="124">
        <v>1</v>
      </c>
      <c r="E437" s="125"/>
      <c r="F437" s="126"/>
      <c r="G437" s="127">
        <v>80.900899999999993</v>
      </c>
      <c r="H437" s="128" t="str">
        <f t="shared" si="19"/>
        <v>CZK</v>
      </c>
      <c r="I437" s="129"/>
      <c r="J437" s="130" t="s">
        <v>27</v>
      </c>
      <c r="L437" s="75">
        <f>G437*(1-'FORM-I'!$V$22/100)</f>
        <v>80.900899999999993</v>
      </c>
      <c r="N437" s="11" t="e">
        <f>VLOOKUP(B437,$B$11:B436,1,FALSE)</f>
        <v>#N/A</v>
      </c>
    </row>
    <row r="438" spans="1:14">
      <c r="A438" s="102"/>
      <c r="B438" s="165">
        <v>9257275</v>
      </c>
      <c r="C438" s="166" t="s">
        <v>542</v>
      </c>
      <c r="D438" s="167">
        <v>1</v>
      </c>
      <c r="E438" s="168"/>
      <c r="F438" s="169"/>
      <c r="G438" s="170">
        <v>101.1262</v>
      </c>
      <c r="H438" s="171" t="str">
        <f t="shared" si="19"/>
        <v>CZK</v>
      </c>
      <c r="I438" s="172"/>
      <c r="J438" s="173" t="s">
        <v>27</v>
      </c>
      <c r="L438" s="75">
        <f>G438*(1-'FORM-I'!$V$22/100)</f>
        <v>101.1262</v>
      </c>
      <c r="N438" s="11" t="e">
        <f>VLOOKUP(B438,$B$11:B437,1,FALSE)</f>
        <v>#N/A</v>
      </c>
    </row>
    <row r="439" spans="1:14">
      <c r="A439" s="112"/>
      <c r="B439" s="156">
        <v>9257277</v>
      </c>
      <c r="C439" s="157" t="s">
        <v>543</v>
      </c>
      <c r="D439" s="158">
        <v>1</v>
      </c>
      <c r="E439" s="159"/>
      <c r="F439" s="160"/>
      <c r="G439" s="161">
        <v>67.628200000000007</v>
      </c>
      <c r="H439" s="162" t="str">
        <f t="shared" si="19"/>
        <v>CZK</v>
      </c>
      <c r="I439" s="163"/>
      <c r="J439" s="164" t="s">
        <v>27</v>
      </c>
      <c r="L439" s="75">
        <f>G439*(1-'FORM-I'!$V$22/100)</f>
        <v>67.628200000000007</v>
      </c>
      <c r="N439" s="11" t="e">
        <f>VLOOKUP(B439,$B$11:B438,1,FALSE)</f>
        <v>#N/A</v>
      </c>
    </row>
    <row r="440" spans="1:14">
      <c r="A440" s="112"/>
      <c r="B440" s="122">
        <v>9257278</v>
      </c>
      <c r="C440" s="123" t="s">
        <v>544</v>
      </c>
      <c r="D440" s="124">
        <v>1</v>
      </c>
      <c r="E440" s="125"/>
      <c r="F440" s="126"/>
      <c r="G440" s="127">
        <v>80.900899999999993</v>
      </c>
      <c r="H440" s="128" t="str">
        <f t="shared" si="19"/>
        <v>CZK</v>
      </c>
      <c r="I440" s="129"/>
      <c r="J440" s="130" t="s">
        <v>27</v>
      </c>
      <c r="L440" s="75">
        <f>G440*(1-'FORM-I'!$V$22/100)</f>
        <v>80.900899999999993</v>
      </c>
      <c r="N440" s="11" t="e">
        <f>VLOOKUP(B440,$B$11:B439,1,FALSE)</f>
        <v>#N/A</v>
      </c>
    </row>
    <row r="441" spans="1:14">
      <c r="A441" s="112"/>
      <c r="B441" s="165">
        <v>9257279</v>
      </c>
      <c r="C441" s="166" t="s">
        <v>545</v>
      </c>
      <c r="D441" s="167">
        <v>1</v>
      </c>
      <c r="E441" s="168"/>
      <c r="F441" s="169"/>
      <c r="G441" s="170">
        <v>101.1262</v>
      </c>
      <c r="H441" s="171" t="str">
        <f t="shared" si="19"/>
        <v>CZK</v>
      </c>
      <c r="I441" s="172"/>
      <c r="J441" s="173" t="s">
        <v>27</v>
      </c>
      <c r="L441" s="75">
        <f>G441*(1-'FORM-I'!$V$22/100)</f>
        <v>101.1262</v>
      </c>
      <c r="N441" s="11" t="e">
        <f>VLOOKUP(B441,$B$11:B440,1,FALSE)</f>
        <v>#N/A</v>
      </c>
    </row>
    <row r="442" spans="1:14">
      <c r="A442" s="67"/>
      <c r="B442" s="156">
        <v>9257611</v>
      </c>
      <c r="C442" s="157" t="s">
        <v>546</v>
      </c>
      <c r="D442" s="158">
        <v>1</v>
      </c>
      <c r="E442" s="159"/>
      <c r="F442" s="160"/>
      <c r="G442" s="161">
        <v>3.6284000000000001</v>
      </c>
      <c r="H442" s="162" t="str">
        <f t="shared" si="19"/>
        <v>CZK</v>
      </c>
      <c r="I442" s="163"/>
      <c r="J442" s="164" t="s">
        <v>27</v>
      </c>
      <c r="L442" s="75">
        <f>G442*(1-'FORM-I'!$V$22/100)</f>
        <v>3.6284000000000001</v>
      </c>
      <c r="N442" s="11" t="e">
        <f>VLOOKUP(B442,$B$11:B441,1,FALSE)</f>
        <v>#N/A</v>
      </c>
    </row>
    <row r="443" spans="1:14">
      <c r="A443" s="67"/>
      <c r="B443" s="122">
        <v>9257612</v>
      </c>
      <c r="C443" s="123" t="s">
        <v>547</v>
      </c>
      <c r="D443" s="124">
        <v>1</v>
      </c>
      <c r="E443" s="125"/>
      <c r="F443" s="126"/>
      <c r="G443" s="127">
        <v>4.5998999999999999</v>
      </c>
      <c r="H443" s="128" t="str">
        <f t="shared" si="19"/>
        <v>CZK</v>
      </c>
      <c r="I443" s="129"/>
      <c r="J443" s="130" t="s">
        <v>27</v>
      </c>
      <c r="L443" s="75">
        <f>G443*(1-'FORM-I'!$V$22/100)</f>
        <v>4.5998999999999999</v>
      </c>
      <c r="N443" s="11" t="e">
        <f>VLOOKUP(B443,$B$11:B442,1,FALSE)</f>
        <v>#N/A</v>
      </c>
    </row>
    <row r="444" spans="1:14">
      <c r="A444" s="67"/>
      <c r="B444" s="165">
        <v>9257613</v>
      </c>
      <c r="C444" s="166" t="s">
        <v>548</v>
      </c>
      <c r="D444" s="167">
        <v>1</v>
      </c>
      <c r="E444" s="168"/>
      <c r="F444" s="169"/>
      <c r="G444" s="170">
        <v>6.4271000000000003</v>
      </c>
      <c r="H444" s="171" t="str">
        <f t="shared" si="19"/>
        <v>CZK</v>
      </c>
      <c r="I444" s="172"/>
      <c r="J444" s="173" t="s">
        <v>27</v>
      </c>
      <c r="L444" s="75">
        <f>G444*(1-'FORM-I'!$V$22/100)</f>
        <v>6.4271000000000003</v>
      </c>
      <c r="N444" s="11" t="e">
        <f>VLOOKUP(B444,$B$11:B443,1,FALSE)</f>
        <v>#N/A</v>
      </c>
    </row>
    <row r="445" spans="1:14">
      <c r="A445" s="102"/>
      <c r="B445" s="156">
        <v>9257615</v>
      </c>
      <c r="C445" s="157" t="s">
        <v>549</v>
      </c>
      <c r="D445" s="158">
        <v>1</v>
      </c>
      <c r="E445" s="159"/>
      <c r="F445" s="160"/>
      <c r="G445" s="161">
        <v>3.6284000000000001</v>
      </c>
      <c r="H445" s="162" t="str">
        <f>IF(G445="","",$H$10)</f>
        <v>CZK</v>
      </c>
      <c r="I445" s="163"/>
      <c r="J445" s="164" t="s">
        <v>27</v>
      </c>
      <c r="L445" s="75">
        <f>G445*(1-'FORM-I'!$V$22/100)</f>
        <v>3.6284000000000001</v>
      </c>
      <c r="N445" s="11" t="e">
        <f>VLOOKUP(B445,$B$11:B444,1,FALSE)</f>
        <v>#N/A</v>
      </c>
    </row>
    <row r="446" spans="1:14">
      <c r="A446" s="102"/>
      <c r="B446" s="122">
        <v>9257616</v>
      </c>
      <c r="C446" s="123" t="s">
        <v>550</v>
      </c>
      <c r="D446" s="124">
        <v>1</v>
      </c>
      <c r="E446" s="125"/>
      <c r="F446" s="126"/>
      <c r="G446" s="127">
        <v>4.5998999999999999</v>
      </c>
      <c r="H446" s="128" t="str">
        <f>IF(G446="","",$H$10)</f>
        <v>CZK</v>
      </c>
      <c r="I446" s="129"/>
      <c r="J446" s="130" t="s">
        <v>27</v>
      </c>
      <c r="L446" s="75">
        <f>G446*(1-'FORM-I'!$V$22/100)</f>
        <v>4.5998999999999999</v>
      </c>
      <c r="N446" s="11" t="e">
        <f>VLOOKUP(B446,$B$11:B445,1,FALSE)</f>
        <v>#N/A</v>
      </c>
    </row>
    <row r="447" spans="1:14">
      <c r="A447" s="102"/>
      <c r="B447" s="165">
        <v>9257617</v>
      </c>
      <c r="C447" s="166" t="s">
        <v>551</v>
      </c>
      <c r="D447" s="167">
        <v>1</v>
      </c>
      <c r="E447" s="168"/>
      <c r="F447" s="169"/>
      <c r="G447" s="170">
        <v>6.4271000000000003</v>
      </c>
      <c r="H447" s="171" t="str">
        <f t="shared" ref="H447:H475" si="20">IF(G447="","",$H$10)</f>
        <v>CZK</v>
      </c>
      <c r="I447" s="172"/>
      <c r="J447" s="173" t="s">
        <v>27</v>
      </c>
      <c r="L447" s="75">
        <f>G447*(1-'FORM-I'!$V$22/100)</f>
        <v>6.4271000000000003</v>
      </c>
      <c r="N447" s="11" t="e">
        <f>VLOOKUP(B447,$B$11:B446,1,FALSE)</f>
        <v>#N/A</v>
      </c>
    </row>
    <row r="448" spans="1:14">
      <c r="A448" s="112"/>
      <c r="B448" s="156">
        <v>9257619</v>
      </c>
      <c r="C448" s="157" t="s">
        <v>552</v>
      </c>
      <c r="D448" s="158">
        <v>1</v>
      </c>
      <c r="E448" s="159"/>
      <c r="F448" s="160"/>
      <c r="G448" s="161">
        <v>3.6284000000000001</v>
      </c>
      <c r="H448" s="162" t="str">
        <f t="shared" si="20"/>
        <v>CZK</v>
      </c>
      <c r="I448" s="163"/>
      <c r="J448" s="164" t="s">
        <v>27</v>
      </c>
      <c r="L448" s="75">
        <f>G448*(1-'FORM-I'!$V$22/100)</f>
        <v>3.6284000000000001</v>
      </c>
      <c r="N448" s="11" t="e">
        <f>VLOOKUP(B448,$B$11:B447,1,FALSE)</f>
        <v>#N/A</v>
      </c>
    </row>
    <row r="449" spans="1:14">
      <c r="A449" s="112"/>
      <c r="B449" s="122">
        <v>9257620</v>
      </c>
      <c r="C449" s="123" t="s">
        <v>553</v>
      </c>
      <c r="D449" s="124">
        <v>1</v>
      </c>
      <c r="E449" s="125"/>
      <c r="F449" s="126"/>
      <c r="G449" s="127">
        <v>4.5998999999999999</v>
      </c>
      <c r="H449" s="128" t="str">
        <f t="shared" si="20"/>
        <v>CZK</v>
      </c>
      <c r="I449" s="129"/>
      <c r="J449" s="130" t="s">
        <v>27</v>
      </c>
      <c r="L449" s="75">
        <f>G449*(1-'FORM-I'!$V$22/100)</f>
        <v>4.5998999999999999</v>
      </c>
      <c r="N449" s="11" t="e">
        <f>VLOOKUP(B449,$B$11:B448,1,FALSE)</f>
        <v>#N/A</v>
      </c>
    </row>
    <row r="450" spans="1:14">
      <c r="A450" s="112"/>
      <c r="B450" s="165">
        <v>9257621</v>
      </c>
      <c r="C450" s="166" t="s">
        <v>554</v>
      </c>
      <c r="D450" s="167">
        <v>1</v>
      </c>
      <c r="E450" s="168"/>
      <c r="F450" s="169"/>
      <c r="G450" s="170">
        <v>6.4271000000000003</v>
      </c>
      <c r="H450" s="171" t="str">
        <f t="shared" si="20"/>
        <v>CZK</v>
      </c>
      <c r="I450" s="172"/>
      <c r="J450" s="173" t="s">
        <v>27</v>
      </c>
      <c r="L450" s="75">
        <f>G450*(1-'FORM-I'!$V$22/100)</f>
        <v>6.4271000000000003</v>
      </c>
      <c r="N450" s="11" t="e">
        <f>VLOOKUP(B450,$B$11:B449,1,FALSE)</f>
        <v>#N/A</v>
      </c>
    </row>
    <row r="451" spans="1:14">
      <c r="A451" s="67"/>
      <c r="B451" s="156">
        <v>9257623</v>
      </c>
      <c r="C451" s="157" t="s">
        <v>555</v>
      </c>
      <c r="D451" s="158">
        <v>1</v>
      </c>
      <c r="E451" s="159"/>
      <c r="F451" s="160"/>
      <c r="G451" s="161">
        <v>5.7950999999999997</v>
      </c>
      <c r="H451" s="162" t="str">
        <f t="shared" si="20"/>
        <v>CZK</v>
      </c>
      <c r="I451" s="163"/>
      <c r="J451" s="164" t="s">
        <v>27</v>
      </c>
      <c r="L451" s="75">
        <f>G451*(1-'FORM-I'!$V$22/100)</f>
        <v>5.7950999999999997</v>
      </c>
      <c r="N451" s="11" t="e">
        <f>VLOOKUP(B451,$B$11:B450,1,FALSE)</f>
        <v>#N/A</v>
      </c>
    </row>
    <row r="452" spans="1:14">
      <c r="A452" s="102"/>
      <c r="B452" s="122">
        <v>9257625</v>
      </c>
      <c r="C452" s="123" t="s">
        <v>556</v>
      </c>
      <c r="D452" s="124">
        <v>1</v>
      </c>
      <c r="E452" s="125"/>
      <c r="F452" s="126"/>
      <c r="G452" s="127">
        <v>5.7950999999999997</v>
      </c>
      <c r="H452" s="128" t="str">
        <f t="shared" si="20"/>
        <v>CZK</v>
      </c>
      <c r="I452" s="129"/>
      <c r="J452" s="130" t="s">
        <v>27</v>
      </c>
      <c r="L452" s="75">
        <f>G452*(1-'FORM-I'!$V$22/100)</f>
        <v>5.7950999999999997</v>
      </c>
      <c r="N452" s="11" t="e">
        <f>VLOOKUP(B452,$B$11:B451,1,FALSE)</f>
        <v>#N/A</v>
      </c>
    </row>
    <row r="453" spans="1:14">
      <c r="A453" s="112"/>
      <c r="B453" s="165">
        <v>9257627</v>
      </c>
      <c r="C453" s="166" t="s">
        <v>557</v>
      </c>
      <c r="D453" s="167">
        <v>1</v>
      </c>
      <c r="E453" s="168"/>
      <c r="F453" s="169"/>
      <c r="G453" s="170">
        <v>5.7950999999999997</v>
      </c>
      <c r="H453" s="171" t="str">
        <f t="shared" si="20"/>
        <v>CZK</v>
      </c>
      <c r="I453" s="172"/>
      <c r="J453" s="173" t="s">
        <v>27</v>
      </c>
      <c r="L453" s="75">
        <f>G453*(1-'FORM-I'!$V$22/100)</f>
        <v>5.7950999999999997</v>
      </c>
      <c r="N453" s="11" t="e">
        <f>VLOOKUP(B453,$B$11:B452,1,FALSE)</f>
        <v>#N/A</v>
      </c>
    </row>
    <row r="454" spans="1:14">
      <c r="B454" s="165">
        <v>9257641</v>
      </c>
      <c r="C454" s="166" t="s">
        <v>558</v>
      </c>
      <c r="D454" s="167">
        <v>100</v>
      </c>
      <c r="E454" s="168"/>
      <c r="F454" s="169"/>
      <c r="G454" s="170">
        <v>1.2607999999999999</v>
      </c>
      <c r="H454" s="171" t="str">
        <f t="shared" si="20"/>
        <v>CZK</v>
      </c>
      <c r="I454" s="172"/>
      <c r="J454" s="173" t="s">
        <v>27</v>
      </c>
      <c r="L454" s="75">
        <f>G454*(1-'FORM-I'!$V$22/100)</f>
        <v>1.2607999999999999</v>
      </c>
      <c r="N454" s="11" t="e">
        <f>VLOOKUP(B454,$B$11:B453,1,FALSE)</f>
        <v>#N/A</v>
      </c>
    </row>
    <row r="455" spans="1:14">
      <c r="A455" s="67"/>
      <c r="B455" s="156">
        <v>9257734</v>
      </c>
      <c r="C455" s="157" t="s">
        <v>559</v>
      </c>
      <c r="D455" s="158">
        <v>1</v>
      </c>
      <c r="E455" s="159"/>
      <c r="F455" s="160"/>
      <c r="G455" s="161">
        <v>6.6364000000000001</v>
      </c>
      <c r="H455" s="162" t="str">
        <f t="shared" si="20"/>
        <v>CZK</v>
      </c>
      <c r="I455" s="163"/>
      <c r="J455" s="164" t="s">
        <v>27</v>
      </c>
      <c r="L455" s="75">
        <f>G455*(1-'FORM-I'!$V$22/100)</f>
        <v>6.6364000000000001</v>
      </c>
      <c r="N455" s="11" t="e">
        <f>VLOOKUP(B455,$B$11:B454,1,FALSE)</f>
        <v>#N/A</v>
      </c>
    </row>
    <row r="456" spans="1:14">
      <c r="A456" s="102"/>
      <c r="B456" s="122">
        <v>9257735</v>
      </c>
      <c r="C456" s="123" t="s">
        <v>560</v>
      </c>
      <c r="D456" s="124">
        <v>1</v>
      </c>
      <c r="E456" s="125"/>
      <c r="F456" s="126"/>
      <c r="G456" s="127">
        <v>6.6364000000000001</v>
      </c>
      <c r="H456" s="128" t="str">
        <f t="shared" si="20"/>
        <v>CZK</v>
      </c>
      <c r="I456" s="129"/>
      <c r="J456" s="130" t="s">
        <v>27</v>
      </c>
      <c r="L456" s="75">
        <f>G456*(1-'FORM-I'!$V$22/100)</f>
        <v>6.6364000000000001</v>
      </c>
      <c r="N456" s="11" t="e">
        <f>VLOOKUP(B456,$B$11:B455,1,FALSE)</f>
        <v>#N/A</v>
      </c>
    </row>
    <row r="457" spans="1:14">
      <c r="A457" s="112"/>
      <c r="B457" s="165">
        <v>9257736</v>
      </c>
      <c r="C457" s="166" t="s">
        <v>561</v>
      </c>
      <c r="D457" s="167">
        <v>1</v>
      </c>
      <c r="E457" s="168"/>
      <c r="F457" s="169"/>
      <c r="G457" s="170">
        <v>6.6364000000000001</v>
      </c>
      <c r="H457" s="171" t="str">
        <f t="shared" si="20"/>
        <v>CZK</v>
      </c>
      <c r="I457" s="172"/>
      <c r="J457" s="173" t="s">
        <v>27</v>
      </c>
      <c r="L457" s="75">
        <f>G457*(1-'FORM-I'!$V$22/100)</f>
        <v>6.6364000000000001</v>
      </c>
      <c r="N457" s="11" t="e">
        <f>VLOOKUP(B457,$B$11:B456,1,FALSE)</f>
        <v>#N/A</v>
      </c>
    </row>
    <row r="458" spans="1:14">
      <c r="A458" s="67"/>
      <c r="B458" s="156">
        <v>9257629</v>
      </c>
      <c r="C458" s="157" t="s">
        <v>562</v>
      </c>
      <c r="D458" s="158">
        <v>200</v>
      </c>
      <c r="E458" s="159"/>
      <c r="F458" s="160"/>
      <c r="G458" s="161">
        <v>0.1709</v>
      </c>
      <c r="H458" s="162" t="str">
        <f t="shared" si="20"/>
        <v>CZK</v>
      </c>
      <c r="I458" s="163"/>
      <c r="J458" s="164" t="s">
        <v>27</v>
      </c>
      <c r="L458" s="75">
        <f>G458*(1-'FORM-I'!$V$22/100)</f>
        <v>0.1709</v>
      </c>
      <c r="N458" s="11" t="e">
        <f>VLOOKUP(B458,$B$11:B457,1,FALSE)</f>
        <v>#N/A</v>
      </c>
    </row>
    <row r="459" spans="1:14">
      <c r="A459" s="67"/>
      <c r="B459" s="122">
        <v>9257630</v>
      </c>
      <c r="C459" s="123" t="s">
        <v>563</v>
      </c>
      <c r="D459" s="124">
        <v>200</v>
      </c>
      <c r="E459" s="125"/>
      <c r="F459" s="126"/>
      <c r="G459" s="127">
        <v>0.2354</v>
      </c>
      <c r="H459" s="128" t="str">
        <f t="shared" si="20"/>
        <v>CZK</v>
      </c>
      <c r="I459" s="129"/>
      <c r="J459" s="130" t="s">
        <v>27</v>
      </c>
      <c r="L459" s="75">
        <f>G459*(1-'FORM-I'!$V$22/100)</f>
        <v>0.2354</v>
      </c>
      <c r="N459" s="11" t="e">
        <f>VLOOKUP(B459,$B$11:B458,1,FALSE)</f>
        <v>#N/A</v>
      </c>
    </row>
    <row r="460" spans="1:14">
      <c r="A460" s="67"/>
      <c r="B460" s="122">
        <v>9257631</v>
      </c>
      <c r="C460" s="123" t="s">
        <v>564</v>
      </c>
      <c r="D460" s="124">
        <v>200</v>
      </c>
      <c r="E460" s="125"/>
      <c r="F460" s="126"/>
      <c r="G460" s="127">
        <v>0.30620000000000003</v>
      </c>
      <c r="H460" s="128" t="str">
        <f t="shared" si="20"/>
        <v>CZK</v>
      </c>
      <c r="I460" s="129"/>
      <c r="J460" s="130" t="s">
        <v>27</v>
      </c>
      <c r="L460" s="75">
        <f>G460*(1-'FORM-I'!$V$22/100)</f>
        <v>0.30620000000000003</v>
      </c>
      <c r="N460" s="11" t="e">
        <f>VLOOKUP(B460,$B$11:B459,1,FALSE)</f>
        <v>#N/A</v>
      </c>
    </row>
    <row r="461" spans="1:14">
      <c r="A461" s="102"/>
      <c r="B461" s="122">
        <v>9257633</v>
      </c>
      <c r="C461" s="123" t="s">
        <v>565</v>
      </c>
      <c r="D461" s="124">
        <v>200</v>
      </c>
      <c r="E461" s="125"/>
      <c r="F461" s="126"/>
      <c r="G461" s="127">
        <v>0.1709</v>
      </c>
      <c r="H461" s="128" t="str">
        <f t="shared" si="20"/>
        <v>CZK</v>
      </c>
      <c r="I461" s="129"/>
      <c r="J461" s="130" t="s">
        <v>27</v>
      </c>
      <c r="L461" s="75">
        <f>G461*(1-'FORM-I'!$V$22/100)</f>
        <v>0.1709</v>
      </c>
      <c r="N461" s="11" t="e">
        <f>VLOOKUP(B461,$B$11:B460,1,FALSE)</f>
        <v>#N/A</v>
      </c>
    </row>
    <row r="462" spans="1:14">
      <c r="A462" s="102"/>
      <c r="B462" s="122">
        <v>9257634</v>
      </c>
      <c r="C462" s="123" t="s">
        <v>566</v>
      </c>
      <c r="D462" s="124">
        <v>200</v>
      </c>
      <c r="E462" s="125"/>
      <c r="F462" s="126"/>
      <c r="G462" s="127">
        <v>0.2354</v>
      </c>
      <c r="H462" s="128" t="str">
        <f t="shared" si="20"/>
        <v>CZK</v>
      </c>
      <c r="I462" s="129"/>
      <c r="J462" s="130" t="s">
        <v>27</v>
      </c>
      <c r="L462" s="75">
        <f>G462*(1-'FORM-I'!$V$22/100)</f>
        <v>0.2354</v>
      </c>
      <c r="N462" s="11" t="e">
        <f>VLOOKUP(B462,$B$11:B461,1,FALSE)</f>
        <v>#N/A</v>
      </c>
    </row>
    <row r="463" spans="1:14">
      <c r="A463" s="102"/>
      <c r="B463" s="122">
        <v>9257635</v>
      </c>
      <c r="C463" s="123" t="s">
        <v>567</v>
      </c>
      <c r="D463" s="124">
        <v>200</v>
      </c>
      <c r="E463" s="125"/>
      <c r="F463" s="126"/>
      <c r="G463" s="127">
        <v>0.30620000000000003</v>
      </c>
      <c r="H463" s="128" t="str">
        <f t="shared" si="20"/>
        <v>CZK</v>
      </c>
      <c r="I463" s="129"/>
      <c r="J463" s="130" t="s">
        <v>27</v>
      </c>
      <c r="L463" s="75">
        <f>G463*(1-'FORM-I'!$V$22/100)</f>
        <v>0.30620000000000003</v>
      </c>
      <c r="N463" s="11" t="e">
        <f>VLOOKUP(B463,$B$11:B462,1,FALSE)</f>
        <v>#N/A</v>
      </c>
    </row>
    <row r="464" spans="1:14">
      <c r="A464" s="112"/>
      <c r="B464" s="122">
        <v>9257637</v>
      </c>
      <c r="C464" s="123" t="s">
        <v>568</v>
      </c>
      <c r="D464" s="124">
        <v>200</v>
      </c>
      <c r="E464" s="125"/>
      <c r="F464" s="126"/>
      <c r="G464" s="127">
        <v>0.1709</v>
      </c>
      <c r="H464" s="128" t="str">
        <f t="shared" si="20"/>
        <v>CZK</v>
      </c>
      <c r="I464" s="129"/>
      <c r="J464" s="130" t="s">
        <v>27</v>
      </c>
      <c r="L464" s="75">
        <f>G464*(1-'FORM-I'!$V$22/100)</f>
        <v>0.1709</v>
      </c>
      <c r="N464" s="11" t="e">
        <f>VLOOKUP(B464,$B$11:B463,1,FALSE)</f>
        <v>#N/A</v>
      </c>
    </row>
    <row r="465" spans="1:14">
      <c r="A465" s="112"/>
      <c r="B465" s="122">
        <v>9257638</v>
      </c>
      <c r="C465" s="123" t="s">
        <v>569</v>
      </c>
      <c r="D465" s="124">
        <v>200</v>
      </c>
      <c r="E465" s="125"/>
      <c r="F465" s="126"/>
      <c r="G465" s="127">
        <v>0.2354</v>
      </c>
      <c r="H465" s="128" t="str">
        <f t="shared" si="20"/>
        <v>CZK</v>
      </c>
      <c r="I465" s="129"/>
      <c r="J465" s="130" t="s">
        <v>27</v>
      </c>
      <c r="L465" s="75">
        <f>G465*(1-'FORM-I'!$V$22/100)</f>
        <v>0.2354</v>
      </c>
      <c r="N465" s="11" t="e">
        <f>VLOOKUP(B465,$B$11:B464,1,FALSE)</f>
        <v>#N/A</v>
      </c>
    </row>
    <row r="466" spans="1:14">
      <c r="A466" s="112"/>
      <c r="B466" s="165">
        <v>9257639</v>
      </c>
      <c r="C466" s="166" t="s">
        <v>570</v>
      </c>
      <c r="D466" s="167">
        <v>200</v>
      </c>
      <c r="E466" s="168"/>
      <c r="F466" s="169"/>
      <c r="G466" s="170">
        <v>0.30620000000000003</v>
      </c>
      <c r="H466" s="171" t="str">
        <f t="shared" si="20"/>
        <v>CZK</v>
      </c>
      <c r="I466" s="172"/>
      <c r="J466" s="173" t="s">
        <v>27</v>
      </c>
      <c r="L466" s="75">
        <f>G466*(1-'FORM-I'!$V$22/100)</f>
        <v>0.30620000000000003</v>
      </c>
      <c r="N466" s="11" t="e">
        <f>VLOOKUP(B466,$B$11:B465,1,FALSE)</f>
        <v>#N/A</v>
      </c>
    </row>
    <row r="467" spans="1:14">
      <c r="A467" s="67"/>
      <c r="B467" s="156">
        <v>9257663</v>
      </c>
      <c r="C467" s="157" t="s">
        <v>571</v>
      </c>
      <c r="D467" s="158">
        <v>1</v>
      </c>
      <c r="E467" s="159"/>
      <c r="F467" s="160"/>
      <c r="G467" s="161">
        <v>33.8142</v>
      </c>
      <c r="H467" s="162" t="str">
        <f t="shared" si="20"/>
        <v>CZK</v>
      </c>
      <c r="I467" s="163"/>
      <c r="J467" s="164" t="s">
        <v>27</v>
      </c>
      <c r="L467" s="75">
        <f>G467*(1-'FORM-I'!$V$22/100)</f>
        <v>33.8142</v>
      </c>
      <c r="N467" s="11" t="e">
        <f>VLOOKUP(B467,$B$11:B466,1,FALSE)</f>
        <v>#N/A</v>
      </c>
    </row>
    <row r="468" spans="1:14">
      <c r="A468" s="102"/>
      <c r="B468" s="122">
        <v>9257664</v>
      </c>
      <c r="C468" s="123" t="s">
        <v>572</v>
      </c>
      <c r="D468" s="124">
        <v>1</v>
      </c>
      <c r="E468" s="125"/>
      <c r="F468" s="126"/>
      <c r="G468" s="127">
        <v>33.8142</v>
      </c>
      <c r="H468" s="128" t="str">
        <f t="shared" si="20"/>
        <v>CZK</v>
      </c>
      <c r="I468" s="129"/>
      <c r="J468" s="130" t="s">
        <v>27</v>
      </c>
      <c r="L468" s="75">
        <f>G468*(1-'FORM-I'!$V$22/100)</f>
        <v>33.8142</v>
      </c>
      <c r="N468" s="11" t="e">
        <f>VLOOKUP(B468,$B$11:B467,1,FALSE)</f>
        <v>#N/A</v>
      </c>
    </row>
    <row r="469" spans="1:14">
      <c r="A469" s="112"/>
      <c r="B469" s="165">
        <v>9257665</v>
      </c>
      <c r="C469" s="166" t="s">
        <v>573</v>
      </c>
      <c r="D469" s="167">
        <v>1</v>
      </c>
      <c r="E469" s="168"/>
      <c r="F469" s="169"/>
      <c r="G469" s="170">
        <v>33.8142</v>
      </c>
      <c r="H469" s="171" t="str">
        <f t="shared" si="20"/>
        <v>CZK</v>
      </c>
      <c r="I469" s="172"/>
      <c r="J469" s="173" t="s">
        <v>27</v>
      </c>
      <c r="L469" s="75">
        <f>G469*(1-'FORM-I'!$V$22/100)</f>
        <v>33.8142</v>
      </c>
      <c r="N469" s="11" t="e">
        <f>VLOOKUP(B469,$B$11:B468,1,FALSE)</f>
        <v>#N/A</v>
      </c>
    </row>
    <row r="470" spans="1:14">
      <c r="A470" s="67"/>
      <c r="B470" s="156">
        <v>9257651</v>
      </c>
      <c r="C470" s="157" t="s">
        <v>574</v>
      </c>
      <c r="D470" s="158">
        <v>1</v>
      </c>
      <c r="E470" s="159"/>
      <c r="F470" s="160"/>
      <c r="G470" s="161">
        <v>23.410299999999999</v>
      </c>
      <c r="H470" s="162" t="str">
        <f t="shared" si="20"/>
        <v>CZK</v>
      </c>
      <c r="I470" s="163"/>
      <c r="J470" s="164" t="s">
        <v>27</v>
      </c>
      <c r="L470" s="75">
        <f>G470*(1-'FORM-I'!$V$22/100)</f>
        <v>23.410299999999999</v>
      </c>
      <c r="N470" s="11" t="e">
        <f>VLOOKUP(B470,$B$11:B469,1,FALSE)</f>
        <v>#N/A</v>
      </c>
    </row>
    <row r="471" spans="1:14">
      <c r="A471" s="102"/>
      <c r="B471" s="122">
        <v>9257652</v>
      </c>
      <c r="C471" s="123" t="s">
        <v>575</v>
      </c>
      <c r="D471" s="124">
        <v>1</v>
      </c>
      <c r="E471" s="125"/>
      <c r="F471" s="126"/>
      <c r="G471" s="127">
        <v>23.410299999999999</v>
      </c>
      <c r="H471" s="128" t="str">
        <f t="shared" si="20"/>
        <v>CZK</v>
      </c>
      <c r="I471" s="129"/>
      <c r="J471" s="130" t="s">
        <v>27</v>
      </c>
      <c r="L471" s="75">
        <f>G471*(1-'FORM-I'!$V$22/100)</f>
        <v>23.410299999999999</v>
      </c>
      <c r="N471" s="11" t="e">
        <f>VLOOKUP(B471,$B$11:B470,1,FALSE)</f>
        <v>#N/A</v>
      </c>
    </row>
    <row r="472" spans="1:14">
      <c r="A472" s="112"/>
      <c r="B472" s="122">
        <v>9257653</v>
      </c>
      <c r="C472" s="123" t="s">
        <v>576</v>
      </c>
      <c r="D472" s="124">
        <v>1</v>
      </c>
      <c r="E472" s="125"/>
      <c r="F472" s="126"/>
      <c r="G472" s="127">
        <v>23.410299999999999</v>
      </c>
      <c r="H472" s="128" t="str">
        <f t="shared" si="20"/>
        <v>CZK</v>
      </c>
      <c r="I472" s="129"/>
      <c r="J472" s="130" t="s">
        <v>27</v>
      </c>
      <c r="L472" s="75">
        <f>G472*(1-'FORM-I'!$V$22/100)</f>
        <v>23.410299999999999</v>
      </c>
      <c r="N472" s="11" t="e">
        <f>VLOOKUP(B472,$B$11:B471,1,FALSE)</f>
        <v>#N/A</v>
      </c>
    </row>
    <row r="473" spans="1:14">
      <c r="A473" s="67"/>
      <c r="B473" s="122">
        <v>9257657</v>
      </c>
      <c r="C473" s="123" t="s">
        <v>577</v>
      </c>
      <c r="D473" s="124">
        <v>1</v>
      </c>
      <c r="E473" s="125"/>
      <c r="F473" s="126"/>
      <c r="G473" s="127">
        <v>23.410299999999999</v>
      </c>
      <c r="H473" s="128" t="str">
        <f t="shared" si="20"/>
        <v>CZK</v>
      </c>
      <c r="I473" s="129"/>
      <c r="J473" s="130" t="s">
        <v>27</v>
      </c>
      <c r="L473" s="75">
        <f>G473*(1-'FORM-I'!$V$22/100)</f>
        <v>23.410299999999999</v>
      </c>
      <c r="N473" s="11" t="e">
        <f>VLOOKUP(B473,$B$11:B472,1,FALSE)</f>
        <v>#N/A</v>
      </c>
    </row>
    <row r="474" spans="1:14">
      <c r="A474" s="102"/>
      <c r="B474" s="122">
        <v>9257658</v>
      </c>
      <c r="C474" s="123" t="s">
        <v>578</v>
      </c>
      <c r="D474" s="124">
        <v>1</v>
      </c>
      <c r="E474" s="125"/>
      <c r="F474" s="126"/>
      <c r="G474" s="127">
        <v>23.410299999999999</v>
      </c>
      <c r="H474" s="128" t="str">
        <f t="shared" si="20"/>
        <v>CZK</v>
      </c>
      <c r="I474" s="129"/>
      <c r="J474" s="130" t="s">
        <v>27</v>
      </c>
      <c r="L474" s="75">
        <f>G474*(1-'FORM-I'!$V$22/100)</f>
        <v>23.410299999999999</v>
      </c>
      <c r="N474" s="11" t="e">
        <f>VLOOKUP(B474,$B$11:B473,1,FALSE)</f>
        <v>#N/A</v>
      </c>
    </row>
    <row r="475" spans="1:14">
      <c r="A475" s="112"/>
      <c r="B475" s="165">
        <v>9257659</v>
      </c>
      <c r="C475" s="166" t="s">
        <v>579</v>
      </c>
      <c r="D475" s="167">
        <v>1</v>
      </c>
      <c r="E475" s="168"/>
      <c r="F475" s="169"/>
      <c r="G475" s="170">
        <v>23.410299999999999</v>
      </c>
      <c r="H475" s="171" t="str">
        <f t="shared" si="20"/>
        <v>CZK</v>
      </c>
      <c r="I475" s="172"/>
      <c r="J475" s="173" t="s">
        <v>27</v>
      </c>
      <c r="L475" s="75">
        <f>G475*(1-'FORM-I'!$V$22/100)</f>
        <v>23.410299999999999</v>
      </c>
      <c r="N475" s="11" t="e">
        <f>VLOOKUP(B475,$B$11:B474,1,FALSE)</f>
        <v>#N/A</v>
      </c>
    </row>
    <row r="476" spans="1:14">
      <c r="B476" s="156"/>
      <c r="C476" s="157"/>
      <c r="D476" s="158"/>
      <c r="E476" s="159"/>
      <c r="F476" s="160"/>
      <c r="G476" s="161"/>
      <c r="H476" s="162"/>
      <c r="I476" s="163"/>
      <c r="J476" s="164" t="s">
        <v>27</v>
      </c>
      <c r="L476" s="75">
        <f>G476*(1-'FORM-I'!$V$22/100)</f>
        <v>0</v>
      </c>
      <c r="N476" s="11" t="e">
        <f>VLOOKUP(B476,$B$11:B475,1,FALSE)</f>
        <v>#N/A</v>
      </c>
    </row>
    <row r="477" spans="1:14">
      <c r="B477" s="122">
        <v>9255759</v>
      </c>
      <c r="C477" s="123" t="s">
        <v>580</v>
      </c>
      <c r="D477" s="124">
        <v>100</v>
      </c>
      <c r="E477" s="125"/>
      <c r="F477" s="126"/>
      <c r="G477" s="127">
        <v>0.6724</v>
      </c>
      <c r="H477" s="128" t="str">
        <f t="shared" ref="H477:H482" si="21">IF(G477="","",$H$10)</f>
        <v>CZK</v>
      </c>
      <c r="I477" s="129"/>
      <c r="J477" s="130" t="s">
        <v>27</v>
      </c>
      <c r="L477" s="75">
        <f>G477*(1-'FORM-I'!$V$22/100)</f>
        <v>0.6724</v>
      </c>
      <c r="N477" s="11" t="e">
        <f>VLOOKUP(B477,$B$11:B476,1,FALSE)</f>
        <v>#N/A</v>
      </c>
    </row>
    <row r="478" spans="1:14">
      <c r="B478" s="122">
        <v>9255760</v>
      </c>
      <c r="C478" s="123" t="s">
        <v>581</v>
      </c>
      <c r="D478" s="124">
        <v>100</v>
      </c>
      <c r="E478" s="125"/>
      <c r="F478" s="126"/>
      <c r="G478" s="127">
        <v>0.67979999999999996</v>
      </c>
      <c r="H478" s="128" t="str">
        <f t="shared" si="21"/>
        <v>CZK</v>
      </c>
      <c r="I478" s="129"/>
      <c r="J478" s="130" t="s">
        <v>27</v>
      </c>
      <c r="L478" s="75">
        <f>G478*(1-'FORM-I'!$V$22/100)</f>
        <v>0.67979999999999996</v>
      </c>
      <c r="N478" s="11" t="e">
        <f>VLOOKUP(B478,$B$11:B477,1,FALSE)</f>
        <v>#N/A</v>
      </c>
    </row>
    <row r="479" spans="1:14">
      <c r="B479" s="122">
        <v>9255761</v>
      </c>
      <c r="C479" s="123" t="s">
        <v>582</v>
      </c>
      <c r="D479" s="124">
        <v>100</v>
      </c>
      <c r="E479" s="125"/>
      <c r="F479" s="126"/>
      <c r="G479" s="127">
        <v>0.69240000000000002</v>
      </c>
      <c r="H479" s="128" t="str">
        <f t="shared" si="21"/>
        <v>CZK</v>
      </c>
      <c r="I479" s="129"/>
      <c r="J479" s="130" t="s">
        <v>27</v>
      </c>
      <c r="L479" s="75">
        <f>G479*(1-'FORM-I'!$V$22/100)</f>
        <v>0.69240000000000002</v>
      </c>
      <c r="N479" s="11" t="e">
        <f>VLOOKUP(B479,$B$11:B478,1,FALSE)</f>
        <v>#N/A</v>
      </c>
    </row>
    <row r="480" spans="1:14">
      <c r="B480" s="122">
        <v>9255762</v>
      </c>
      <c r="C480" s="123" t="s">
        <v>583</v>
      </c>
      <c r="D480" s="124">
        <v>100</v>
      </c>
      <c r="E480" s="125"/>
      <c r="F480" s="126"/>
      <c r="G480" s="127">
        <v>0.70479999999999998</v>
      </c>
      <c r="H480" s="128" t="str">
        <f t="shared" si="21"/>
        <v>CZK</v>
      </c>
      <c r="I480" s="129"/>
      <c r="J480" s="130" t="s">
        <v>27</v>
      </c>
      <c r="L480" s="75">
        <f>G480*(1-'FORM-I'!$V$22/100)</f>
        <v>0.70479999999999998</v>
      </c>
      <c r="N480" s="11" t="e">
        <f>VLOOKUP(B480,$B$11:B479,1,FALSE)</f>
        <v>#N/A</v>
      </c>
    </row>
    <row r="481" spans="2:14">
      <c r="B481" s="122">
        <v>9255763</v>
      </c>
      <c r="C481" s="123" t="s">
        <v>584</v>
      </c>
      <c r="D481" s="124">
        <v>100</v>
      </c>
      <c r="E481" s="125"/>
      <c r="F481" s="126"/>
      <c r="G481" s="127">
        <v>0.71740000000000004</v>
      </c>
      <c r="H481" s="128" t="str">
        <f t="shared" si="21"/>
        <v>CZK</v>
      </c>
      <c r="I481" s="129"/>
      <c r="J481" s="130" t="s">
        <v>27</v>
      </c>
      <c r="L481" s="75">
        <f>G481*(1-'FORM-I'!$V$22/100)</f>
        <v>0.71740000000000004</v>
      </c>
      <c r="N481" s="11" t="e">
        <f>VLOOKUP(B481,$B$11:B480,1,FALSE)</f>
        <v>#N/A</v>
      </c>
    </row>
    <row r="482" spans="2:14">
      <c r="B482" s="122">
        <v>9255764</v>
      </c>
      <c r="C482" s="123" t="s">
        <v>585</v>
      </c>
      <c r="D482" s="124">
        <v>100</v>
      </c>
      <c r="E482" s="125"/>
      <c r="F482" s="126"/>
      <c r="G482" s="127">
        <v>0.72989999999999999</v>
      </c>
      <c r="H482" s="128" t="str">
        <f t="shared" si="21"/>
        <v>CZK</v>
      </c>
      <c r="I482" s="129"/>
      <c r="J482" s="130" t="s">
        <v>27</v>
      </c>
      <c r="L482" s="75">
        <f>G482*(1-'FORM-I'!$V$22/100)</f>
        <v>0.72989999999999999</v>
      </c>
      <c r="N482" s="11" t="e">
        <f>VLOOKUP(B482,$B$11:B481,1,FALSE)</f>
        <v>#N/A</v>
      </c>
    </row>
    <row r="483" spans="2:14">
      <c r="B483" s="122">
        <v>9255765</v>
      </c>
      <c r="C483" s="123" t="s">
        <v>586</v>
      </c>
      <c r="D483" s="124">
        <v>100</v>
      </c>
      <c r="E483" s="125"/>
      <c r="F483" s="126"/>
      <c r="G483" s="127">
        <v>0.74229999999999996</v>
      </c>
      <c r="H483" s="128" t="str">
        <f>IF(G483="","",$H$10)</f>
        <v>CZK</v>
      </c>
      <c r="I483" s="129"/>
      <c r="J483" s="130" t="s">
        <v>27</v>
      </c>
      <c r="L483" s="75">
        <f>G483*(1-'FORM-I'!$V$22/100)</f>
        <v>0.74229999999999996</v>
      </c>
      <c r="N483" s="11" t="e">
        <f>VLOOKUP(B483,$B$11:B482,1,FALSE)</f>
        <v>#N/A</v>
      </c>
    </row>
    <row r="484" spans="2:14">
      <c r="B484" s="122">
        <v>9255766</v>
      </c>
      <c r="C484" s="123" t="s">
        <v>587</v>
      </c>
      <c r="D484" s="124">
        <v>100</v>
      </c>
      <c r="E484" s="125"/>
      <c r="F484" s="126"/>
      <c r="G484" s="127">
        <v>0.76149999999999995</v>
      </c>
      <c r="H484" s="128" t="str">
        <f>IF(G484="","",$H$10)</f>
        <v>CZK</v>
      </c>
      <c r="I484" s="129"/>
      <c r="J484" s="130" t="s">
        <v>27</v>
      </c>
      <c r="L484" s="75">
        <f>G484*(1-'FORM-I'!$V$22/100)</f>
        <v>0.76149999999999995</v>
      </c>
      <c r="N484" s="11" t="e">
        <f>VLOOKUP(B484,$B$11:B483,1,FALSE)</f>
        <v>#N/A</v>
      </c>
    </row>
    <row r="485" spans="2:14">
      <c r="B485" s="165">
        <v>9255767</v>
      </c>
      <c r="C485" s="166" t="s">
        <v>588</v>
      </c>
      <c r="D485" s="167">
        <v>100</v>
      </c>
      <c r="E485" s="168"/>
      <c r="F485" s="169"/>
      <c r="G485" s="170">
        <v>0.78710000000000002</v>
      </c>
      <c r="H485" s="171" t="str">
        <f t="shared" ref="H485:H520" si="22">IF(G485="","",$H$10)</f>
        <v>CZK</v>
      </c>
      <c r="I485" s="172"/>
      <c r="J485" s="173" t="s">
        <v>27</v>
      </c>
      <c r="L485" s="75">
        <f>G485*(1-'FORM-I'!$V$22/100)</f>
        <v>0.78710000000000002</v>
      </c>
      <c r="N485" s="11" t="e">
        <f>VLOOKUP(B485,$B$11:B484,1,FALSE)</f>
        <v>#N/A</v>
      </c>
    </row>
    <row r="486" spans="2:14">
      <c r="B486" s="156">
        <v>9255768</v>
      </c>
      <c r="C486" s="157" t="s">
        <v>589</v>
      </c>
      <c r="D486" s="158">
        <v>100</v>
      </c>
      <c r="E486" s="159"/>
      <c r="F486" s="160"/>
      <c r="G486" s="161">
        <v>0.6724</v>
      </c>
      <c r="H486" s="162" t="str">
        <f t="shared" si="22"/>
        <v>CZK</v>
      </c>
      <c r="I486" s="163"/>
      <c r="J486" s="164" t="s">
        <v>27</v>
      </c>
      <c r="L486" s="75">
        <f>G486*(1-'FORM-I'!$V$22/100)</f>
        <v>0.6724</v>
      </c>
      <c r="N486" s="11" t="e">
        <f>VLOOKUP(B486,$B$11:B485,1,FALSE)</f>
        <v>#N/A</v>
      </c>
    </row>
    <row r="487" spans="2:14">
      <c r="B487" s="122">
        <v>9255769</v>
      </c>
      <c r="C487" s="123" t="s">
        <v>590</v>
      </c>
      <c r="D487" s="124">
        <v>100</v>
      </c>
      <c r="E487" s="125"/>
      <c r="F487" s="126"/>
      <c r="G487" s="127">
        <v>0.67979999999999996</v>
      </c>
      <c r="H487" s="128" t="str">
        <f t="shared" si="22"/>
        <v>CZK</v>
      </c>
      <c r="I487" s="129"/>
      <c r="J487" s="130" t="s">
        <v>27</v>
      </c>
      <c r="L487" s="75">
        <f>G487*(1-'FORM-I'!$V$22/100)</f>
        <v>0.67979999999999996</v>
      </c>
      <c r="N487" s="11" t="e">
        <f>VLOOKUP(B487,$B$11:B486,1,FALSE)</f>
        <v>#N/A</v>
      </c>
    </row>
    <row r="488" spans="2:14">
      <c r="B488" s="122">
        <v>9255770</v>
      </c>
      <c r="C488" s="123" t="s">
        <v>591</v>
      </c>
      <c r="D488" s="124">
        <v>100</v>
      </c>
      <c r="E488" s="125"/>
      <c r="F488" s="126"/>
      <c r="G488" s="127">
        <v>0.69240000000000002</v>
      </c>
      <c r="H488" s="128" t="str">
        <f t="shared" si="22"/>
        <v>CZK</v>
      </c>
      <c r="I488" s="129"/>
      <c r="J488" s="130" t="s">
        <v>27</v>
      </c>
      <c r="L488" s="75">
        <f>G488*(1-'FORM-I'!$V$22/100)</f>
        <v>0.69240000000000002</v>
      </c>
      <c r="N488" s="11" t="e">
        <f>VLOOKUP(B488,$B$11:B487,1,FALSE)</f>
        <v>#N/A</v>
      </c>
    </row>
    <row r="489" spans="2:14">
      <c r="B489" s="122">
        <v>9255771</v>
      </c>
      <c r="C489" s="123" t="s">
        <v>592</v>
      </c>
      <c r="D489" s="124">
        <v>100</v>
      </c>
      <c r="E489" s="125"/>
      <c r="F489" s="126"/>
      <c r="G489" s="127">
        <v>0.70479999999999998</v>
      </c>
      <c r="H489" s="128" t="str">
        <f t="shared" si="22"/>
        <v>CZK</v>
      </c>
      <c r="I489" s="129"/>
      <c r="J489" s="130" t="s">
        <v>27</v>
      </c>
      <c r="L489" s="75">
        <f>G489*(1-'FORM-I'!$V$22/100)</f>
        <v>0.70479999999999998</v>
      </c>
      <c r="N489" s="11" t="e">
        <f>VLOOKUP(B489,$B$11:B488,1,FALSE)</f>
        <v>#N/A</v>
      </c>
    </row>
    <row r="490" spans="2:14">
      <c r="B490" s="122">
        <v>9255772</v>
      </c>
      <c r="C490" s="123" t="s">
        <v>593</v>
      </c>
      <c r="D490" s="124">
        <v>100</v>
      </c>
      <c r="E490" s="125"/>
      <c r="F490" s="126"/>
      <c r="G490" s="127">
        <v>0.71740000000000004</v>
      </c>
      <c r="H490" s="128" t="str">
        <f t="shared" si="22"/>
        <v>CZK</v>
      </c>
      <c r="I490" s="129"/>
      <c r="J490" s="130" t="s">
        <v>27</v>
      </c>
      <c r="L490" s="75">
        <f>G490*(1-'FORM-I'!$V$22/100)</f>
        <v>0.71740000000000004</v>
      </c>
      <c r="N490" s="11" t="e">
        <f>VLOOKUP(B490,$B$11:B489,1,FALSE)</f>
        <v>#N/A</v>
      </c>
    </row>
    <row r="491" spans="2:14">
      <c r="B491" s="122">
        <v>9255773</v>
      </c>
      <c r="C491" s="123" t="s">
        <v>594</v>
      </c>
      <c r="D491" s="124">
        <v>100</v>
      </c>
      <c r="E491" s="125"/>
      <c r="F491" s="126"/>
      <c r="G491" s="127">
        <v>0.72989999999999999</v>
      </c>
      <c r="H491" s="128" t="str">
        <f t="shared" si="22"/>
        <v>CZK</v>
      </c>
      <c r="I491" s="129"/>
      <c r="J491" s="130" t="s">
        <v>27</v>
      </c>
      <c r="L491" s="75">
        <f>G491*(1-'FORM-I'!$V$22/100)</f>
        <v>0.72989999999999999</v>
      </c>
      <c r="N491" s="11" t="e">
        <f>VLOOKUP(B491,$B$11:B490,1,FALSE)</f>
        <v>#N/A</v>
      </c>
    </row>
    <row r="492" spans="2:14">
      <c r="B492" s="122">
        <v>9255774</v>
      </c>
      <c r="C492" s="123" t="s">
        <v>595</v>
      </c>
      <c r="D492" s="124">
        <v>100</v>
      </c>
      <c r="E492" s="125"/>
      <c r="F492" s="126"/>
      <c r="G492" s="127">
        <v>0.74229999999999996</v>
      </c>
      <c r="H492" s="128" t="str">
        <f t="shared" si="22"/>
        <v>CZK</v>
      </c>
      <c r="I492" s="129"/>
      <c r="J492" s="130" t="s">
        <v>27</v>
      </c>
      <c r="L492" s="75">
        <f>G492*(1-'FORM-I'!$V$22/100)</f>
        <v>0.74229999999999996</v>
      </c>
      <c r="N492" s="11" t="e">
        <f>VLOOKUP(B492,$B$11:B491,1,FALSE)</f>
        <v>#N/A</v>
      </c>
    </row>
    <row r="493" spans="2:14">
      <c r="B493" s="122">
        <v>9255775</v>
      </c>
      <c r="C493" s="123" t="s">
        <v>596</v>
      </c>
      <c r="D493" s="124">
        <v>100</v>
      </c>
      <c r="E493" s="125"/>
      <c r="F493" s="126"/>
      <c r="G493" s="127">
        <v>0.76149999999999995</v>
      </c>
      <c r="H493" s="128" t="str">
        <f t="shared" si="22"/>
        <v>CZK</v>
      </c>
      <c r="I493" s="129"/>
      <c r="J493" s="130" t="s">
        <v>27</v>
      </c>
      <c r="L493" s="75">
        <f>G493*(1-'FORM-I'!$V$22/100)</f>
        <v>0.76149999999999995</v>
      </c>
      <c r="N493" s="11" t="e">
        <f>VLOOKUP(B493,$B$11:B492,1,FALSE)</f>
        <v>#N/A</v>
      </c>
    </row>
    <row r="494" spans="2:14">
      <c r="B494" s="165">
        <v>9255776</v>
      </c>
      <c r="C494" s="166" t="s">
        <v>597</v>
      </c>
      <c r="D494" s="167">
        <v>100</v>
      </c>
      <c r="E494" s="168"/>
      <c r="F494" s="169"/>
      <c r="G494" s="170">
        <v>0.78710000000000002</v>
      </c>
      <c r="H494" s="171" t="str">
        <f t="shared" si="22"/>
        <v>CZK</v>
      </c>
      <c r="I494" s="172"/>
      <c r="J494" s="173" t="s">
        <v>27</v>
      </c>
      <c r="L494" s="75">
        <f>G494*(1-'FORM-I'!$V$22/100)</f>
        <v>0.78710000000000002</v>
      </c>
      <c r="N494" s="11" t="e">
        <f>VLOOKUP(B494,$B$11:B493,1,FALSE)</f>
        <v>#N/A</v>
      </c>
    </row>
    <row r="495" spans="2:14">
      <c r="B495" s="156">
        <v>9255777</v>
      </c>
      <c r="C495" s="157" t="s">
        <v>598</v>
      </c>
      <c r="D495" s="158">
        <v>100</v>
      </c>
      <c r="E495" s="159"/>
      <c r="F495" s="160"/>
      <c r="G495" s="161">
        <v>0.6724</v>
      </c>
      <c r="H495" s="162" t="str">
        <f t="shared" si="22"/>
        <v>CZK</v>
      </c>
      <c r="I495" s="163"/>
      <c r="J495" s="164" t="s">
        <v>27</v>
      </c>
      <c r="L495" s="75">
        <f>G495*(1-'FORM-I'!$V$22/100)</f>
        <v>0.6724</v>
      </c>
      <c r="N495" s="11" t="e">
        <f>VLOOKUP(B495,$B$11:B494,1,FALSE)</f>
        <v>#N/A</v>
      </c>
    </row>
    <row r="496" spans="2:14">
      <c r="B496" s="122">
        <v>9255778</v>
      </c>
      <c r="C496" s="123" t="s">
        <v>599</v>
      </c>
      <c r="D496" s="124">
        <v>100</v>
      </c>
      <c r="E496" s="125"/>
      <c r="F496" s="126"/>
      <c r="G496" s="127">
        <v>0.67979999999999996</v>
      </c>
      <c r="H496" s="128" t="str">
        <f t="shared" si="22"/>
        <v>CZK</v>
      </c>
      <c r="I496" s="129"/>
      <c r="J496" s="130" t="s">
        <v>27</v>
      </c>
      <c r="L496" s="75">
        <f>G496*(1-'FORM-I'!$V$22/100)</f>
        <v>0.67979999999999996</v>
      </c>
      <c r="N496" s="11" t="e">
        <f>VLOOKUP(B496,$B$11:B495,1,FALSE)</f>
        <v>#N/A</v>
      </c>
    </row>
    <row r="497" spans="2:14">
      <c r="B497" s="122">
        <v>9255779</v>
      </c>
      <c r="C497" s="123" t="s">
        <v>600</v>
      </c>
      <c r="D497" s="124">
        <v>100</v>
      </c>
      <c r="E497" s="125"/>
      <c r="F497" s="126"/>
      <c r="G497" s="127">
        <v>0.69240000000000002</v>
      </c>
      <c r="H497" s="128" t="str">
        <f t="shared" si="22"/>
        <v>CZK</v>
      </c>
      <c r="I497" s="129"/>
      <c r="J497" s="130" t="s">
        <v>27</v>
      </c>
      <c r="L497" s="75">
        <f>G497*(1-'FORM-I'!$V$22/100)</f>
        <v>0.69240000000000002</v>
      </c>
      <c r="N497" s="11" t="e">
        <f>VLOOKUP(B497,$B$11:B496,1,FALSE)</f>
        <v>#N/A</v>
      </c>
    </row>
    <row r="498" spans="2:14">
      <c r="B498" s="122">
        <v>9255780</v>
      </c>
      <c r="C498" s="123" t="s">
        <v>601</v>
      </c>
      <c r="D498" s="124">
        <v>100</v>
      </c>
      <c r="E498" s="125"/>
      <c r="F498" s="126"/>
      <c r="G498" s="127">
        <v>0.70479999999999998</v>
      </c>
      <c r="H498" s="128" t="str">
        <f t="shared" si="22"/>
        <v>CZK</v>
      </c>
      <c r="I498" s="129"/>
      <c r="J498" s="130" t="s">
        <v>27</v>
      </c>
      <c r="L498" s="75">
        <f>G498*(1-'FORM-I'!$V$22/100)</f>
        <v>0.70479999999999998</v>
      </c>
      <c r="N498" s="11" t="e">
        <f>VLOOKUP(B498,$B$11:B497,1,FALSE)</f>
        <v>#N/A</v>
      </c>
    </row>
    <row r="499" spans="2:14">
      <c r="B499" s="122">
        <v>9255781</v>
      </c>
      <c r="C499" s="123" t="s">
        <v>602</v>
      </c>
      <c r="D499" s="124">
        <v>100</v>
      </c>
      <c r="E499" s="125"/>
      <c r="F499" s="126"/>
      <c r="G499" s="127">
        <v>0.71740000000000004</v>
      </c>
      <c r="H499" s="128" t="str">
        <f t="shared" si="22"/>
        <v>CZK</v>
      </c>
      <c r="I499" s="129"/>
      <c r="J499" s="130" t="s">
        <v>27</v>
      </c>
      <c r="L499" s="75">
        <f>G499*(1-'FORM-I'!$V$22/100)</f>
        <v>0.71740000000000004</v>
      </c>
      <c r="N499" s="11" t="e">
        <f>VLOOKUP(B499,$B$11:B498,1,FALSE)</f>
        <v>#N/A</v>
      </c>
    </row>
    <row r="500" spans="2:14">
      <c r="B500" s="122">
        <v>9255782</v>
      </c>
      <c r="C500" s="123" t="s">
        <v>603</v>
      </c>
      <c r="D500" s="124">
        <v>100</v>
      </c>
      <c r="E500" s="125"/>
      <c r="F500" s="126"/>
      <c r="G500" s="127">
        <v>0.72989999999999999</v>
      </c>
      <c r="H500" s="128" t="str">
        <f t="shared" si="22"/>
        <v>CZK</v>
      </c>
      <c r="I500" s="129"/>
      <c r="J500" s="130" t="s">
        <v>27</v>
      </c>
      <c r="L500" s="75">
        <f>G500*(1-'FORM-I'!$V$22/100)</f>
        <v>0.72989999999999999</v>
      </c>
      <c r="N500" s="11" t="e">
        <f>VLOOKUP(B500,$B$11:B499,1,FALSE)</f>
        <v>#N/A</v>
      </c>
    </row>
    <row r="501" spans="2:14">
      <c r="B501" s="122">
        <v>9255783</v>
      </c>
      <c r="C501" s="123" t="s">
        <v>604</v>
      </c>
      <c r="D501" s="124">
        <v>100</v>
      </c>
      <c r="E501" s="125"/>
      <c r="F501" s="126"/>
      <c r="G501" s="127">
        <v>0.74229999999999996</v>
      </c>
      <c r="H501" s="128" t="str">
        <f t="shared" si="22"/>
        <v>CZK</v>
      </c>
      <c r="I501" s="129"/>
      <c r="J501" s="130" t="s">
        <v>27</v>
      </c>
      <c r="L501" s="75">
        <f>G501*(1-'FORM-I'!$V$22/100)</f>
        <v>0.74229999999999996</v>
      </c>
      <c r="N501" s="11" t="e">
        <f>VLOOKUP(B501,$B$11:B500,1,FALSE)</f>
        <v>#N/A</v>
      </c>
    </row>
    <row r="502" spans="2:14">
      <c r="B502" s="122">
        <v>9255784</v>
      </c>
      <c r="C502" s="123" t="s">
        <v>605</v>
      </c>
      <c r="D502" s="124">
        <v>100</v>
      </c>
      <c r="E502" s="125"/>
      <c r="F502" s="126"/>
      <c r="G502" s="127">
        <v>0.76149999999999995</v>
      </c>
      <c r="H502" s="128" t="str">
        <f t="shared" si="22"/>
        <v>CZK</v>
      </c>
      <c r="I502" s="129"/>
      <c r="J502" s="130" t="s">
        <v>27</v>
      </c>
      <c r="L502" s="75">
        <f>G502*(1-'FORM-I'!$V$22/100)</f>
        <v>0.76149999999999995</v>
      </c>
      <c r="N502" s="11" t="e">
        <f>VLOOKUP(B502,$B$11:B501,1,FALSE)</f>
        <v>#N/A</v>
      </c>
    </row>
    <row r="503" spans="2:14">
      <c r="B503" s="165">
        <v>9255785</v>
      </c>
      <c r="C503" s="166" t="s">
        <v>606</v>
      </c>
      <c r="D503" s="167">
        <v>100</v>
      </c>
      <c r="E503" s="168"/>
      <c r="F503" s="169"/>
      <c r="G503" s="170">
        <v>0.78710000000000002</v>
      </c>
      <c r="H503" s="171" t="str">
        <f t="shared" si="22"/>
        <v>CZK</v>
      </c>
      <c r="I503" s="172"/>
      <c r="J503" s="173" t="s">
        <v>27</v>
      </c>
      <c r="L503" s="75">
        <f>G503*(1-'FORM-I'!$V$22/100)</f>
        <v>0.78710000000000002</v>
      </c>
      <c r="N503" s="11" t="e">
        <f>VLOOKUP(B503,$B$11:B502,1,FALSE)</f>
        <v>#N/A</v>
      </c>
    </row>
    <row r="504" spans="2:14">
      <c r="B504" s="156">
        <v>9255786</v>
      </c>
      <c r="C504" s="157" t="s">
        <v>607</v>
      </c>
      <c r="D504" s="158">
        <v>100</v>
      </c>
      <c r="E504" s="159"/>
      <c r="F504" s="160"/>
      <c r="G504" s="161">
        <v>0.6724</v>
      </c>
      <c r="H504" s="162" t="str">
        <f t="shared" si="22"/>
        <v>CZK</v>
      </c>
      <c r="I504" s="163"/>
      <c r="J504" s="164" t="s">
        <v>27</v>
      </c>
      <c r="L504" s="75">
        <f>G504*(1-'FORM-I'!$V$22/100)</f>
        <v>0.6724</v>
      </c>
      <c r="N504" s="11" t="e">
        <f>VLOOKUP(B504,$B$11:B503,1,FALSE)</f>
        <v>#N/A</v>
      </c>
    </row>
    <row r="505" spans="2:14">
      <c r="B505" s="122">
        <v>9255787</v>
      </c>
      <c r="C505" s="123" t="s">
        <v>608</v>
      </c>
      <c r="D505" s="124">
        <v>100</v>
      </c>
      <c r="E505" s="125"/>
      <c r="F505" s="126"/>
      <c r="G505" s="127">
        <v>0.67979999999999996</v>
      </c>
      <c r="H505" s="128" t="str">
        <f t="shared" si="22"/>
        <v>CZK</v>
      </c>
      <c r="I505" s="129"/>
      <c r="J505" s="130" t="s">
        <v>27</v>
      </c>
      <c r="L505" s="75">
        <f>G505*(1-'FORM-I'!$V$22/100)</f>
        <v>0.67979999999999996</v>
      </c>
      <c r="N505" s="11" t="e">
        <f>VLOOKUP(B505,$B$11:B504,1,FALSE)</f>
        <v>#N/A</v>
      </c>
    </row>
    <row r="506" spans="2:14">
      <c r="B506" s="122">
        <v>9255788</v>
      </c>
      <c r="C506" s="123" t="s">
        <v>609</v>
      </c>
      <c r="D506" s="124">
        <v>100</v>
      </c>
      <c r="E506" s="125"/>
      <c r="F506" s="126"/>
      <c r="G506" s="127">
        <v>0.69240000000000002</v>
      </c>
      <c r="H506" s="128" t="str">
        <f t="shared" si="22"/>
        <v>CZK</v>
      </c>
      <c r="I506" s="129"/>
      <c r="J506" s="130" t="s">
        <v>27</v>
      </c>
      <c r="L506" s="75">
        <f>G506*(1-'FORM-I'!$V$22/100)</f>
        <v>0.69240000000000002</v>
      </c>
      <c r="N506" s="11" t="e">
        <f>VLOOKUP(B506,$B$11:B505,1,FALSE)</f>
        <v>#N/A</v>
      </c>
    </row>
    <row r="507" spans="2:14">
      <c r="B507" s="122">
        <v>9255789</v>
      </c>
      <c r="C507" s="123" t="s">
        <v>610</v>
      </c>
      <c r="D507" s="124">
        <v>100</v>
      </c>
      <c r="E507" s="125"/>
      <c r="F507" s="126"/>
      <c r="G507" s="127">
        <v>0.70479999999999998</v>
      </c>
      <c r="H507" s="128" t="str">
        <f t="shared" si="22"/>
        <v>CZK</v>
      </c>
      <c r="I507" s="129"/>
      <c r="J507" s="130" t="s">
        <v>27</v>
      </c>
      <c r="L507" s="75">
        <f>G507*(1-'FORM-I'!$V$22/100)</f>
        <v>0.70479999999999998</v>
      </c>
      <c r="N507" s="11" t="e">
        <f>VLOOKUP(B507,$B$11:B506,1,FALSE)</f>
        <v>#N/A</v>
      </c>
    </row>
    <row r="508" spans="2:14">
      <c r="B508" s="122">
        <v>9255790</v>
      </c>
      <c r="C508" s="123" t="s">
        <v>611</v>
      </c>
      <c r="D508" s="124">
        <v>100</v>
      </c>
      <c r="E508" s="125"/>
      <c r="F508" s="126"/>
      <c r="G508" s="127">
        <v>0.71740000000000004</v>
      </c>
      <c r="H508" s="128" t="str">
        <f t="shared" si="22"/>
        <v>CZK</v>
      </c>
      <c r="I508" s="129"/>
      <c r="J508" s="130" t="s">
        <v>27</v>
      </c>
      <c r="L508" s="75">
        <f>G508*(1-'FORM-I'!$V$22/100)</f>
        <v>0.71740000000000004</v>
      </c>
      <c r="N508" s="11" t="e">
        <f>VLOOKUP(B508,$B$11:B507,1,FALSE)</f>
        <v>#N/A</v>
      </c>
    </row>
    <row r="509" spans="2:14">
      <c r="B509" s="122">
        <v>9255791</v>
      </c>
      <c r="C509" s="123" t="s">
        <v>612</v>
      </c>
      <c r="D509" s="124">
        <v>100</v>
      </c>
      <c r="E509" s="125"/>
      <c r="F509" s="126"/>
      <c r="G509" s="127">
        <v>0.72989999999999999</v>
      </c>
      <c r="H509" s="128" t="str">
        <f t="shared" si="22"/>
        <v>CZK</v>
      </c>
      <c r="I509" s="129"/>
      <c r="J509" s="130" t="s">
        <v>27</v>
      </c>
      <c r="L509" s="75">
        <f>G509*(1-'FORM-I'!$V$22/100)</f>
        <v>0.72989999999999999</v>
      </c>
      <c r="N509" s="11" t="e">
        <f>VLOOKUP(B509,$B$11:B508,1,FALSE)</f>
        <v>#N/A</v>
      </c>
    </row>
    <row r="510" spans="2:14">
      <c r="B510" s="122">
        <v>9255792</v>
      </c>
      <c r="C510" s="123" t="s">
        <v>613</v>
      </c>
      <c r="D510" s="124">
        <v>100</v>
      </c>
      <c r="E510" s="125"/>
      <c r="F510" s="126"/>
      <c r="G510" s="127">
        <v>0.74229999999999996</v>
      </c>
      <c r="H510" s="128" t="str">
        <f t="shared" si="22"/>
        <v>CZK</v>
      </c>
      <c r="I510" s="129"/>
      <c r="J510" s="130" t="s">
        <v>27</v>
      </c>
      <c r="L510" s="75">
        <f>G510*(1-'FORM-I'!$V$22/100)</f>
        <v>0.74229999999999996</v>
      </c>
      <c r="N510" s="11" t="e">
        <f>VLOOKUP(B510,$B$11:B509,1,FALSE)</f>
        <v>#N/A</v>
      </c>
    </row>
    <row r="511" spans="2:14">
      <c r="B511" s="122">
        <v>9255793</v>
      </c>
      <c r="C511" s="123" t="s">
        <v>614</v>
      </c>
      <c r="D511" s="124">
        <v>100</v>
      </c>
      <c r="E511" s="125"/>
      <c r="F511" s="126"/>
      <c r="G511" s="127">
        <v>0.76149999999999995</v>
      </c>
      <c r="H511" s="128" t="str">
        <f t="shared" si="22"/>
        <v>CZK</v>
      </c>
      <c r="I511" s="129"/>
      <c r="J511" s="130" t="s">
        <v>27</v>
      </c>
      <c r="L511" s="75">
        <f>G511*(1-'FORM-I'!$V$22/100)</f>
        <v>0.76149999999999995</v>
      </c>
      <c r="N511" s="11" t="e">
        <f>VLOOKUP(B511,$B$11:B510,1,FALSE)</f>
        <v>#N/A</v>
      </c>
    </row>
    <row r="512" spans="2:14">
      <c r="B512" s="165">
        <v>9255794</v>
      </c>
      <c r="C512" s="166" t="s">
        <v>615</v>
      </c>
      <c r="D512" s="167">
        <v>100</v>
      </c>
      <c r="E512" s="168"/>
      <c r="F512" s="169"/>
      <c r="G512" s="170">
        <v>0.78710000000000002</v>
      </c>
      <c r="H512" s="171" t="str">
        <f t="shared" si="22"/>
        <v>CZK</v>
      </c>
      <c r="I512" s="172"/>
      <c r="J512" s="173" t="s">
        <v>27</v>
      </c>
      <c r="L512" s="75">
        <f>G512*(1-'FORM-I'!$V$22/100)</f>
        <v>0.78710000000000002</v>
      </c>
      <c r="N512" s="11" t="e">
        <f>VLOOKUP(B512,$B$11:B511,1,FALSE)</f>
        <v>#N/A</v>
      </c>
    </row>
    <row r="513" spans="2:14">
      <c r="B513" s="156">
        <v>9255795</v>
      </c>
      <c r="C513" s="157" t="s">
        <v>616</v>
      </c>
      <c r="D513" s="158">
        <v>100</v>
      </c>
      <c r="E513" s="159"/>
      <c r="F513" s="160"/>
      <c r="G513" s="161">
        <v>0.6724</v>
      </c>
      <c r="H513" s="162" t="str">
        <f t="shared" si="22"/>
        <v>CZK</v>
      </c>
      <c r="I513" s="163"/>
      <c r="J513" s="164" t="s">
        <v>27</v>
      </c>
      <c r="L513" s="75">
        <f>G513*(1-'FORM-I'!$V$22/100)</f>
        <v>0.6724</v>
      </c>
      <c r="N513" s="11" t="e">
        <f>VLOOKUP(B513,$B$11:B512,1,FALSE)</f>
        <v>#N/A</v>
      </c>
    </row>
    <row r="514" spans="2:14">
      <c r="B514" s="122">
        <v>9255796</v>
      </c>
      <c r="C514" s="123" t="s">
        <v>617</v>
      </c>
      <c r="D514" s="124">
        <v>100</v>
      </c>
      <c r="E514" s="125"/>
      <c r="F514" s="126"/>
      <c r="G514" s="127">
        <v>0.67979999999999996</v>
      </c>
      <c r="H514" s="128" t="str">
        <f t="shared" si="22"/>
        <v>CZK</v>
      </c>
      <c r="I514" s="129"/>
      <c r="J514" s="130" t="s">
        <v>27</v>
      </c>
      <c r="L514" s="75">
        <f>G514*(1-'FORM-I'!$V$22/100)</f>
        <v>0.67979999999999996</v>
      </c>
      <c r="N514" s="11" t="e">
        <f>VLOOKUP(B514,$B$11:B513,1,FALSE)</f>
        <v>#N/A</v>
      </c>
    </row>
    <row r="515" spans="2:14">
      <c r="B515" s="122">
        <v>9255797</v>
      </c>
      <c r="C515" s="123" t="s">
        <v>618</v>
      </c>
      <c r="D515" s="124">
        <v>100</v>
      </c>
      <c r="E515" s="125"/>
      <c r="F515" s="126"/>
      <c r="G515" s="127">
        <v>0.69240000000000002</v>
      </c>
      <c r="H515" s="128" t="str">
        <f t="shared" si="22"/>
        <v>CZK</v>
      </c>
      <c r="I515" s="129"/>
      <c r="J515" s="130" t="s">
        <v>27</v>
      </c>
      <c r="L515" s="75">
        <f>G515*(1-'FORM-I'!$V$22/100)</f>
        <v>0.69240000000000002</v>
      </c>
      <c r="N515" s="11" t="e">
        <f>VLOOKUP(B515,$B$11:B514,1,FALSE)</f>
        <v>#N/A</v>
      </c>
    </row>
    <row r="516" spans="2:14">
      <c r="B516" s="122">
        <v>9255798</v>
      </c>
      <c r="C516" s="123" t="s">
        <v>619</v>
      </c>
      <c r="D516" s="124">
        <v>100</v>
      </c>
      <c r="E516" s="125"/>
      <c r="F516" s="126"/>
      <c r="G516" s="127">
        <v>0.70479999999999998</v>
      </c>
      <c r="H516" s="128" t="str">
        <f t="shared" si="22"/>
        <v>CZK</v>
      </c>
      <c r="I516" s="129"/>
      <c r="J516" s="130" t="s">
        <v>27</v>
      </c>
      <c r="L516" s="75">
        <f>G516*(1-'FORM-I'!$V$22/100)</f>
        <v>0.70479999999999998</v>
      </c>
      <c r="N516" s="11" t="e">
        <f>VLOOKUP(B516,$B$11:B515,1,FALSE)</f>
        <v>#N/A</v>
      </c>
    </row>
    <row r="517" spans="2:14">
      <c r="B517" s="122">
        <v>9255799</v>
      </c>
      <c r="C517" s="123" t="s">
        <v>620</v>
      </c>
      <c r="D517" s="124">
        <v>100</v>
      </c>
      <c r="E517" s="125"/>
      <c r="F517" s="126"/>
      <c r="G517" s="127">
        <v>0.71740000000000004</v>
      </c>
      <c r="H517" s="128" t="str">
        <f t="shared" si="22"/>
        <v>CZK</v>
      </c>
      <c r="I517" s="129"/>
      <c r="J517" s="130" t="s">
        <v>27</v>
      </c>
      <c r="L517" s="75">
        <f>G517*(1-'FORM-I'!$V$22/100)</f>
        <v>0.71740000000000004</v>
      </c>
      <c r="N517" s="11" t="e">
        <f>VLOOKUP(B517,$B$11:B516,1,FALSE)</f>
        <v>#N/A</v>
      </c>
    </row>
    <row r="518" spans="2:14">
      <c r="B518" s="122">
        <v>9255800</v>
      </c>
      <c r="C518" s="123" t="s">
        <v>621</v>
      </c>
      <c r="D518" s="124">
        <v>100</v>
      </c>
      <c r="E518" s="125"/>
      <c r="F518" s="126"/>
      <c r="G518" s="127">
        <v>0.72989999999999999</v>
      </c>
      <c r="H518" s="128" t="str">
        <f t="shared" si="22"/>
        <v>CZK</v>
      </c>
      <c r="I518" s="129"/>
      <c r="J518" s="130" t="s">
        <v>27</v>
      </c>
      <c r="L518" s="75">
        <f>G518*(1-'FORM-I'!$V$22/100)</f>
        <v>0.72989999999999999</v>
      </c>
      <c r="N518" s="11" t="e">
        <f>VLOOKUP(B518,$B$11:B517,1,FALSE)</f>
        <v>#N/A</v>
      </c>
    </row>
    <row r="519" spans="2:14">
      <c r="B519" s="122">
        <v>9255801</v>
      </c>
      <c r="C519" s="123" t="s">
        <v>622</v>
      </c>
      <c r="D519" s="124">
        <v>100</v>
      </c>
      <c r="E519" s="125"/>
      <c r="F519" s="126"/>
      <c r="G519" s="127">
        <v>0.74229999999999996</v>
      </c>
      <c r="H519" s="128" t="str">
        <f t="shared" si="22"/>
        <v>CZK</v>
      </c>
      <c r="I519" s="129"/>
      <c r="J519" s="130" t="s">
        <v>27</v>
      </c>
      <c r="L519" s="75">
        <f>G519*(1-'FORM-I'!$V$22/100)</f>
        <v>0.74229999999999996</v>
      </c>
      <c r="N519" s="11" t="e">
        <f>VLOOKUP(B519,$B$11:B518,1,FALSE)</f>
        <v>#N/A</v>
      </c>
    </row>
    <row r="520" spans="2:14">
      <c r="B520" s="122">
        <v>9255802</v>
      </c>
      <c r="C520" s="123" t="s">
        <v>623</v>
      </c>
      <c r="D520" s="124">
        <v>100</v>
      </c>
      <c r="E520" s="125"/>
      <c r="F520" s="126"/>
      <c r="G520" s="127">
        <v>0.76149999999999995</v>
      </c>
      <c r="H520" s="128" t="str">
        <f t="shared" si="22"/>
        <v>CZK</v>
      </c>
      <c r="I520" s="129"/>
      <c r="J520" s="130" t="s">
        <v>27</v>
      </c>
      <c r="L520" s="75">
        <f>G520*(1-'FORM-I'!$V$22/100)</f>
        <v>0.76149999999999995</v>
      </c>
      <c r="N520" s="11" t="e">
        <f>VLOOKUP(B520,$B$11:B519,1,FALSE)</f>
        <v>#N/A</v>
      </c>
    </row>
    <row r="521" spans="2:14">
      <c r="B521" s="165">
        <v>9255803</v>
      </c>
      <c r="C521" s="166" t="s">
        <v>624</v>
      </c>
      <c r="D521" s="167">
        <v>100</v>
      </c>
      <c r="E521" s="168"/>
      <c r="F521" s="169"/>
      <c r="G521" s="170">
        <v>0.78710000000000002</v>
      </c>
      <c r="H521" s="171" t="str">
        <f>IF(G521="","",$H$10)</f>
        <v>CZK</v>
      </c>
      <c r="I521" s="172"/>
      <c r="J521" s="173" t="s">
        <v>27</v>
      </c>
      <c r="L521" s="75">
        <f>G521*(1-'FORM-I'!$V$22/100)</f>
        <v>0.78710000000000002</v>
      </c>
      <c r="N521" s="11" t="e">
        <f>VLOOKUP(B521,$B$11:B520,1,FALSE)</f>
        <v>#N/A</v>
      </c>
    </row>
    <row r="522" spans="2:14">
      <c r="B522" s="138">
        <v>9255831</v>
      </c>
      <c r="C522" s="139" t="s">
        <v>625</v>
      </c>
      <c r="D522" s="140">
        <v>50</v>
      </c>
      <c r="E522" s="141"/>
      <c r="F522" s="142"/>
      <c r="G522" s="143">
        <v>2.3700999999999999</v>
      </c>
      <c r="H522" s="144" t="str">
        <f>IF(G522="","",$H$10)</f>
        <v>CZK</v>
      </c>
      <c r="I522" s="145"/>
      <c r="J522" s="146" t="s">
        <v>27</v>
      </c>
      <c r="L522" s="75">
        <f>G522*(1-'FORM-I'!$V$22/100)</f>
        <v>2.3700999999999999</v>
      </c>
      <c r="N522" s="11" t="e">
        <f>VLOOKUP(B522,$B$11:B521,1,FALSE)</f>
        <v>#N/A</v>
      </c>
    </row>
    <row r="523" spans="2:14">
      <c r="B523" s="138"/>
      <c r="C523" s="139"/>
      <c r="D523" s="140"/>
      <c r="E523" s="141"/>
      <c r="F523" s="142"/>
      <c r="G523" s="143"/>
      <c r="H523" s="144"/>
      <c r="I523" s="145"/>
      <c r="J523" s="146" t="s">
        <v>27</v>
      </c>
      <c r="L523" s="75">
        <f>G523*(1-'FORM-I'!$V$22/100)</f>
        <v>0</v>
      </c>
      <c r="N523" s="11" t="e">
        <f>VLOOKUP(B523,$B$11:B522,1,FALSE)</f>
        <v>#N/A</v>
      </c>
    </row>
    <row r="524" spans="2:14">
      <c r="B524" s="156">
        <v>9257643</v>
      </c>
      <c r="C524" s="157" t="s">
        <v>626</v>
      </c>
      <c r="D524" s="158">
        <v>1</v>
      </c>
      <c r="E524" s="159"/>
      <c r="F524" s="160"/>
      <c r="G524" s="161">
        <v>68.328699999999998</v>
      </c>
      <c r="H524" s="162" t="str">
        <f t="shared" ref="H524:H529" si="23">IF(G524="","",$H$10)</f>
        <v>CZK</v>
      </c>
      <c r="I524" s="163"/>
      <c r="J524" s="164" t="s">
        <v>27</v>
      </c>
      <c r="L524" s="75">
        <f>G524*(1-'FORM-I'!$V$22/100)</f>
        <v>68.328699999999998</v>
      </c>
      <c r="N524" s="11" t="e">
        <f>VLOOKUP(B524,$B$11:B523,1,FALSE)</f>
        <v>#N/A</v>
      </c>
    </row>
    <row r="525" spans="2:14">
      <c r="B525" s="122">
        <v>9257645</v>
      </c>
      <c r="C525" s="123" t="s">
        <v>627</v>
      </c>
      <c r="D525" s="124">
        <v>1</v>
      </c>
      <c r="E525" s="125"/>
      <c r="F525" s="126"/>
      <c r="G525" s="127">
        <v>112.742</v>
      </c>
      <c r="H525" s="128" t="str">
        <f t="shared" si="23"/>
        <v>CZK</v>
      </c>
      <c r="I525" s="129"/>
      <c r="J525" s="130" t="s">
        <v>27</v>
      </c>
      <c r="L525" s="75">
        <f>G525*(1-'FORM-I'!$V$22/100)</f>
        <v>112.742</v>
      </c>
      <c r="N525" s="11" t="e">
        <f>VLOOKUP(B525,$B$11:B524,1,FALSE)</f>
        <v>#N/A</v>
      </c>
    </row>
    <row r="526" spans="2:14">
      <c r="B526" s="122">
        <v>9257647</v>
      </c>
      <c r="C526" s="123" t="s">
        <v>628</v>
      </c>
      <c r="D526" s="124">
        <v>1</v>
      </c>
      <c r="E526" s="125"/>
      <c r="F526" s="126"/>
      <c r="G526" s="127">
        <v>97.163200000000003</v>
      </c>
      <c r="H526" s="128" t="str">
        <f t="shared" si="23"/>
        <v>CZK</v>
      </c>
      <c r="I526" s="129"/>
      <c r="J526" s="130" t="s">
        <v>27</v>
      </c>
      <c r="L526" s="75">
        <f>G526*(1-'FORM-I'!$V$22/100)</f>
        <v>97.163200000000003</v>
      </c>
      <c r="N526" s="11" t="e">
        <f>VLOOKUP(B526,$B$11:B525,1,FALSE)</f>
        <v>#N/A</v>
      </c>
    </row>
    <row r="527" spans="2:14">
      <c r="B527" s="165">
        <v>9257649</v>
      </c>
      <c r="C527" s="166" t="s">
        <v>629</v>
      </c>
      <c r="D527" s="167">
        <v>1</v>
      </c>
      <c r="E527" s="168"/>
      <c r="F527" s="169"/>
      <c r="G527" s="170">
        <v>151.07429999999999</v>
      </c>
      <c r="H527" s="171" t="str">
        <f t="shared" si="23"/>
        <v>CZK</v>
      </c>
      <c r="I527" s="172"/>
      <c r="J527" s="173" t="s">
        <v>27</v>
      </c>
      <c r="L527" s="75">
        <f>G527*(1-'FORM-I'!$V$22/100)</f>
        <v>151.07429999999999</v>
      </c>
      <c r="N527" s="11" t="e">
        <f>VLOOKUP(B527,$B$11:B526,1,FALSE)</f>
        <v>#N/A</v>
      </c>
    </row>
    <row r="528" spans="2:14">
      <c r="B528" s="156">
        <v>9257703</v>
      </c>
      <c r="C528" s="157" t="s">
        <v>630</v>
      </c>
      <c r="D528" s="158">
        <v>200</v>
      </c>
      <c r="E528" s="159"/>
      <c r="F528" s="160"/>
      <c r="G528" s="161">
        <v>0.23669999999999999</v>
      </c>
      <c r="H528" s="162" t="str">
        <f t="shared" si="23"/>
        <v>CZK</v>
      </c>
      <c r="I528" s="163"/>
      <c r="J528" s="164" t="s">
        <v>27</v>
      </c>
      <c r="L528" s="75">
        <f>G528*(1-'FORM-I'!$V$22/100)</f>
        <v>0.23669999999999999</v>
      </c>
      <c r="N528" s="11" t="e">
        <f>VLOOKUP(B528,$B$11:B527,1,FALSE)</f>
        <v>#N/A</v>
      </c>
    </row>
    <row r="529" spans="2:14">
      <c r="B529" s="122">
        <v>9257704</v>
      </c>
      <c r="C529" s="123" t="s">
        <v>631</v>
      </c>
      <c r="D529" s="124">
        <v>200</v>
      </c>
      <c r="E529" s="125"/>
      <c r="F529" s="126"/>
      <c r="G529" s="127">
        <v>0.23669999999999999</v>
      </c>
      <c r="H529" s="128" t="str">
        <f t="shared" si="23"/>
        <v>CZK</v>
      </c>
      <c r="I529" s="129"/>
      <c r="J529" s="130" t="s">
        <v>27</v>
      </c>
      <c r="L529" s="75">
        <f>G529*(1-'FORM-I'!$V$22/100)</f>
        <v>0.23669999999999999</v>
      </c>
      <c r="N529" s="11" t="e">
        <f>VLOOKUP(B529,$B$11:B528,1,FALSE)</f>
        <v>#N/A</v>
      </c>
    </row>
    <row r="530" spans="2:14">
      <c r="B530" s="122">
        <v>9257705</v>
      </c>
      <c r="C530" s="123" t="s">
        <v>632</v>
      </c>
      <c r="D530" s="124">
        <v>200</v>
      </c>
      <c r="E530" s="125"/>
      <c r="F530" s="126"/>
      <c r="G530" s="127">
        <v>0.23669999999999999</v>
      </c>
      <c r="H530" s="128" t="str">
        <f>IF(G530="","",$H$10)</f>
        <v>CZK</v>
      </c>
      <c r="I530" s="129"/>
      <c r="J530" s="130" t="s">
        <v>27</v>
      </c>
      <c r="L530" s="75">
        <f>G530*(1-'FORM-I'!$V$22/100)</f>
        <v>0.23669999999999999</v>
      </c>
      <c r="N530" s="11" t="e">
        <f>VLOOKUP(B530,$B$11:B529,1,FALSE)</f>
        <v>#N/A</v>
      </c>
    </row>
    <row r="531" spans="2:14">
      <c r="B531" s="122">
        <v>9270185</v>
      </c>
      <c r="C531" s="123" t="s">
        <v>633</v>
      </c>
      <c r="D531" s="124">
        <v>200</v>
      </c>
      <c r="E531" s="125"/>
      <c r="F531" s="126"/>
      <c r="G531" s="127">
        <v>0.1052</v>
      </c>
      <c r="H531" s="128" t="str">
        <f>IF(G531="","",$H$10)</f>
        <v>CZK</v>
      </c>
      <c r="I531" s="129"/>
      <c r="J531" s="130" t="s">
        <v>27</v>
      </c>
      <c r="L531" s="75">
        <f>G531*(1-'FORM-I'!$V$22/100)</f>
        <v>0.1052</v>
      </c>
      <c r="N531" s="11" t="e">
        <f>VLOOKUP(B531,$B$11:B530,1,FALSE)</f>
        <v>#N/A</v>
      </c>
    </row>
    <row r="532" spans="2:14">
      <c r="B532" s="122">
        <v>9270186</v>
      </c>
      <c r="C532" s="123" t="s">
        <v>634</v>
      </c>
      <c r="D532" s="124">
        <v>200</v>
      </c>
      <c r="E532" s="125"/>
      <c r="F532" s="126"/>
      <c r="G532" s="127">
        <v>0.1052</v>
      </c>
      <c r="H532" s="128" t="str">
        <f t="shared" ref="H532:H534" si="24">IF(G532="","",$H$10)</f>
        <v>CZK</v>
      </c>
      <c r="I532" s="129"/>
      <c r="J532" s="130" t="s">
        <v>27</v>
      </c>
      <c r="L532" s="75">
        <f>G532*(1-'FORM-I'!$V$22/100)</f>
        <v>0.1052</v>
      </c>
      <c r="N532" s="11" t="e">
        <f>VLOOKUP(B532,$B$11:B531,1,FALSE)</f>
        <v>#N/A</v>
      </c>
    </row>
    <row r="533" spans="2:14">
      <c r="B533" s="165">
        <v>9270187</v>
      </c>
      <c r="C533" s="166" t="s">
        <v>635</v>
      </c>
      <c r="D533" s="167">
        <v>200</v>
      </c>
      <c r="E533" s="168"/>
      <c r="F533" s="169"/>
      <c r="G533" s="170">
        <v>0.1052</v>
      </c>
      <c r="H533" s="171" t="str">
        <f t="shared" si="24"/>
        <v>CZK</v>
      </c>
      <c r="I533" s="172"/>
      <c r="J533" s="173" t="s">
        <v>27</v>
      </c>
      <c r="L533" s="75">
        <f>G533*(1-'FORM-I'!$V$22/100)</f>
        <v>0.1052</v>
      </c>
      <c r="N533" s="11" t="e">
        <f>VLOOKUP(B533,$B$11:B532,1,FALSE)</f>
        <v>#N/A</v>
      </c>
    </row>
    <row r="534" spans="2:14">
      <c r="B534" s="138">
        <v>9123080</v>
      </c>
      <c r="C534" s="139" t="s">
        <v>636</v>
      </c>
      <c r="D534" s="140">
        <v>150</v>
      </c>
      <c r="E534" s="141"/>
      <c r="F534" s="142"/>
      <c r="G534" s="143">
        <v>0.91559999999999997</v>
      </c>
      <c r="H534" s="144" t="str">
        <f t="shared" si="24"/>
        <v>CZK</v>
      </c>
      <c r="I534" s="145"/>
      <c r="J534" s="146" t="s">
        <v>27</v>
      </c>
      <c r="L534" s="75">
        <f>G534*(1-'FORM-I'!$V$22/100)</f>
        <v>0.91559999999999997</v>
      </c>
      <c r="N534" s="11" t="e">
        <f>VLOOKUP(B534,$B$11:B533,1,FALSE)</f>
        <v>#N/A</v>
      </c>
    </row>
    <row r="535" spans="2:14">
      <c r="B535" s="138"/>
      <c r="C535" s="139"/>
      <c r="D535" s="140"/>
      <c r="E535" s="141"/>
      <c r="F535" s="142"/>
      <c r="G535" s="143"/>
      <c r="H535" s="144"/>
      <c r="I535" s="145"/>
      <c r="J535" s="146" t="s">
        <v>27</v>
      </c>
      <c r="L535" s="75">
        <f>G535*(1-'FORM-I'!$V$22/100)</f>
        <v>0</v>
      </c>
      <c r="N535" s="11" t="e">
        <f>VLOOKUP(B535,$B$11:B534,1,FALSE)</f>
        <v>#N/A</v>
      </c>
    </row>
    <row r="536" spans="2:14">
      <c r="B536" s="156">
        <v>9283178</v>
      </c>
      <c r="C536" s="157" t="s">
        <v>637</v>
      </c>
      <c r="D536" s="158">
        <v>1</v>
      </c>
      <c r="E536" s="159"/>
      <c r="F536" s="160"/>
      <c r="G536" s="161">
        <v>31.875499999999999</v>
      </c>
      <c r="H536" s="162" t="str">
        <f t="shared" ref="H536:H542" si="25">IF(G536="","",$H$10)</f>
        <v>CZK</v>
      </c>
      <c r="I536" s="163"/>
      <c r="J536" s="164" t="s">
        <v>27</v>
      </c>
      <c r="L536" s="75">
        <f>G536*(1-'FORM-I'!$V$22/100)</f>
        <v>31.875499999999999</v>
      </c>
      <c r="N536" s="11" t="e">
        <f>VLOOKUP(B536,$B$11:B535,1,FALSE)</f>
        <v>#N/A</v>
      </c>
    </row>
    <row r="537" spans="2:14">
      <c r="B537" s="122">
        <v>9283179</v>
      </c>
      <c r="C537" s="123" t="s">
        <v>638</v>
      </c>
      <c r="D537" s="124">
        <v>1</v>
      </c>
      <c r="E537" s="125"/>
      <c r="F537" s="126"/>
      <c r="G537" s="127">
        <v>33.680300000000003</v>
      </c>
      <c r="H537" s="128" t="str">
        <f t="shared" si="25"/>
        <v>CZK</v>
      </c>
      <c r="I537" s="129"/>
      <c r="J537" s="130" t="s">
        <v>27</v>
      </c>
      <c r="L537" s="75">
        <f>G537*(1-'FORM-I'!$V$22/100)</f>
        <v>33.680300000000003</v>
      </c>
      <c r="N537" s="11" t="e">
        <f>VLOOKUP(B537,$B$11:B536,1,FALSE)</f>
        <v>#N/A</v>
      </c>
    </row>
    <row r="538" spans="2:14">
      <c r="B538" s="122">
        <v>9283180</v>
      </c>
      <c r="C538" s="123" t="s">
        <v>639</v>
      </c>
      <c r="D538" s="124">
        <v>1</v>
      </c>
      <c r="E538" s="125"/>
      <c r="F538" s="126"/>
      <c r="G538" s="127">
        <v>35.485300000000002</v>
      </c>
      <c r="H538" s="128" t="str">
        <f t="shared" si="25"/>
        <v>CZK</v>
      </c>
      <c r="I538" s="129"/>
      <c r="J538" s="130" t="s">
        <v>27</v>
      </c>
      <c r="L538" s="75">
        <f>G538*(1-'FORM-I'!$V$22/100)</f>
        <v>35.485300000000002</v>
      </c>
      <c r="N538" s="11" t="e">
        <f>VLOOKUP(B538,$B$11:B537,1,FALSE)</f>
        <v>#N/A</v>
      </c>
    </row>
    <row r="539" spans="2:14">
      <c r="B539" s="122">
        <v>9283181</v>
      </c>
      <c r="C539" s="123" t="s">
        <v>640</v>
      </c>
      <c r="D539" s="124">
        <v>1</v>
      </c>
      <c r="E539" s="125"/>
      <c r="F539" s="126"/>
      <c r="G539" s="127">
        <v>37.290300000000002</v>
      </c>
      <c r="H539" s="128" t="str">
        <f t="shared" si="25"/>
        <v>CZK</v>
      </c>
      <c r="I539" s="129"/>
      <c r="J539" s="130" t="s">
        <v>27</v>
      </c>
      <c r="L539" s="75">
        <f>G539*(1-'FORM-I'!$V$22/100)</f>
        <v>37.290300000000002</v>
      </c>
      <c r="N539" s="11" t="e">
        <f>VLOOKUP(B539,$B$11:B538,1,FALSE)</f>
        <v>#N/A</v>
      </c>
    </row>
    <row r="540" spans="2:14">
      <c r="B540" s="122">
        <v>9283182</v>
      </c>
      <c r="C540" s="123" t="s">
        <v>641</v>
      </c>
      <c r="D540" s="124">
        <v>1</v>
      </c>
      <c r="E540" s="125"/>
      <c r="F540" s="126"/>
      <c r="G540" s="127">
        <v>40.898899999999998</v>
      </c>
      <c r="H540" s="128" t="str">
        <f t="shared" si="25"/>
        <v>CZK</v>
      </c>
      <c r="I540" s="129"/>
      <c r="J540" s="130" t="s">
        <v>27</v>
      </c>
      <c r="L540" s="75">
        <f>G540*(1-'FORM-I'!$V$22/100)</f>
        <v>40.898899999999998</v>
      </c>
      <c r="N540" s="11" t="e">
        <f>VLOOKUP(B540,$B$11:B539,1,FALSE)</f>
        <v>#N/A</v>
      </c>
    </row>
    <row r="541" spans="2:14">
      <c r="B541" s="122">
        <v>9283183</v>
      </c>
      <c r="C541" s="123" t="s">
        <v>642</v>
      </c>
      <c r="D541" s="124">
        <v>1</v>
      </c>
      <c r="E541" s="125"/>
      <c r="F541" s="126"/>
      <c r="G541" s="127">
        <v>44.5075</v>
      </c>
      <c r="H541" s="128" t="str">
        <f t="shared" si="25"/>
        <v>CZK</v>
      </c>
      <c r="I541" s="129"/>
      <c r="J541" s="130" t="s">
        <v>27</v>
      </c>
      <c r="L541" s="75">
        <f>G541*(1-'FORM-I'!$V$22/100)</f>
        <v>44.5075</v>
      </c>
      <c r="N541" s="11" t="e">
        <f>VLOOKUP(B541,$B$11:B540,1,FALSE)</f>
        <v>#N/A</v>
      </c>
    </row>
    <row r="542" spans="2:14">
      <c r="B542" s="165">
        <v>9283184</v>
      </c>
      <c r="C542" s="166" t="s">
        <v>643</v>
      </c>
      <c r="D542" s="167">
        <v>1</v>
      </c>
      <c r="E542" s="168"/>
      <c r="F542" s="169"/>
      <c r="G542" s="170">
        <v>48.116199999999999</v>
      </c>
      <c r="H542" s="171" t="str">
        <f t="shared" si="25"/>
        <v>CZK</v>
      </c>
      <c r="I542" s="172"/>
      <c r="J542" s="173" t="s">
        <v>27</v>
      </c>
      <c r="L542" s="75">
        <f>G542*(1-'FORM-I'!$V$22/100)</f>
        <v>48.116199999999999</v>
      </c>
      <c r="N542" s="11" t="e">
        <f>VLOOKUP(B542,$B$11:B541,1,FALSE)</f>
        <v>#N/A</v>
      </c>
    </row>
    <row r="543" spans="2:14">
      <c r="B543" s="165"/>
      <c r="C543" s="166"/>
      <c r="D543" s="167"/>
      <c r="E543" s="168"/>
      <c r="F543" s="169"/>
      <c r="G543" s="170"/>
      <c r="H543" s="171"/>
      <c r="I543" s="172"/>
      <c r="J543" s="173" t="s">
        <v>27</v>
      </c>
      <c r="L543" s="75">
        <f>G543*(1-'FORM-I'!$V$22/100)</f>
        <v>0</v>
      </c>
      <c r="N543" s="11" t="e">
        <f>VLOOKUP(B543,$B$11:B542,1,FALSE)</f>
        <v>#N/A</v>
      </c>
    </row>
    <row r="544" spans="2:14">
      <c r="B544" s="156">
        <v>9283185</v>
      </c>
      <c r="C544" s="157" t="s">
        <v>644</v>
      </c>
      <c r="D544" s="158">
        <v>1</v>
      </c>
      <c r="E544" s="159"/>
      <c r="F544" s="160"/>
      <c r="G544" s="161">
        <v>13.783799999999999</v>
      </c>
      <c r="H544" s="162" t="str">
        <f t="shared" ref="H544:H567" si="26">IF(G544="","",$H$10)</f>
        <v>CZK</v>
      </c>
      <c r="I544" s="163"/>
      <c r="J544" s="164" t="s">
        <v>27</v>
      </c>
      <c r="L544" s="75">
        <f>G544*(1-'FORM-I'!$V$22/100)</f>
        <v>13.783799999999999</v>
      </c>
      <c r="N544" s="11" t="e">
        <f>VLOOKUP(B544,$B$11:B543,1,FALSE)</f>
        <v>#N/A</v>
      </c>
    </row>
    <row r="545" spans="2:14">
      <c r="B545" s="122">
        <v>9283186</v>
      </c>
      <c r="C545" s="123" t="s">
        <v>645</v>
      </c>
      <c r="D545" s="124">
        <v>1</v>
      </c>
      <c r="E545" s="125"/>
      <c r="F545" s="126"/>
      <c r="G545" s="127">
        <v>15.8009</v>
      </c>
      <c r="H545" s="128" t="str">
        <f t="shared" si="26"/>
        <v>CZK</v>
      </c>
      <c r="I545" s="129"/>
      <c r="J545" s="130" t="s">
        <v>27</v>
      </c>
      <c r="L545" s="75">
        <f>G545*(1-'FORM-I'!$V$22/100)</f>
        <v>15.8009</v>
      </c>
      <c r="N545" s="11" t="e">
        <f>VLOOKUP(B545,$B$11:B544,1,FALSE)</f>
        <v>#N/A</v>
      </c>
    </row>
    <row r="546" spans="2:14">
      <c r="B546" s="122">
        <v>9283187</v>
      </c>
      <c r="C546" s="123" t="s">
        <v>646</v>
      </c>
      <c r="D546" s="124">
        <v>1</v>
      </c>
      <c r="E546" s="125"/>
      <c r="F546" s="126"/>
      <c r="G546" s="127">
        <v>27.903500000000001</v>
      </c>
      <c r="H546" s="128" t="str">
        <f t="shared" si="26"/>
        <v>CZK</v>
      </c>
      <c r="I546" s="129"/>
      <c r="J546" s="130" t="s">
        <v>27</v>
      </c>
      <c r="L546" s="75">
        <f>G546*(1-'FORM-I'!$V$22/100)</f>
        <v>27.903500000000001</v>
      </c>
      <c r="N546" s="11" t="e">
        <f>VLOOKUP(B546,$B$11:B545,1,FALSE)</f>
        <v>#N/A</v>
      </c>
    </row>
    <row r="547" spans="2:14">
      <c r="B547" s="122">
        <v>9283188</v>
      </c>
      <c r="C547" s="123" t="s">
        <v>647</v>
      </c>
      <c r="D547" s="124">
        <v>1</v>
      </c>
      <c r="E547" s="125"/>
      <c r="F547" s="126"/>
      <c r="G547" s="127">
        <v>35.971699999999998</v>
      </c>
      <c r="H547" s="128" t="str">
        <f t="shared" si="26"/>
        <v>CZK</v>
      </c>
      <c r="I547" s="129"/>
      <c r="J547" s="130" t="s">
        <v>27</v>
      </c>
      <c r="L547" s="75">
        <f>G547*(1-'FORM-I'!$V$22/100)</f>
        <v>35.971699999999998</v>
      </c>
      <c r="N547" s="11" t="e">
        <f>VLOOKUP(B547,$B$11:B546,1,FALSE)</f>
        <v>#N/A</v>
      </c>
    </row>
    <row r="548" spans="2:14">
      <c r="B548" s="122">
        <v>9283228</v>
      </c>
      <c r="C548" s="123" t="s">
        <v>648</v>
      </c>
      <c r="D548" s="124">
        <v>1</v>
      </c>
      <c r="E548" s="125"/>
      <c r="F548" s="126"/>
      <c r="G548" s="127">
        <v>13.783799999999999</v>
      </c>
      <c r="H548" s="128" t="str">
        <f t="shared" si="26"/>
        <v>CZK</v>
      </c>
      <c r="I548" s="129"/>
      <c r="J548" s="130" t="s">
        <v>27</v>
      </c>
      <c r="L548" s="75">
        <f>G548*(1-'FORM-I'!$V$22/100)</f>
        <v>13.783799999999999</v>
      </c>
      <c r="N548" s="11" t="e">
        <f>VLOOKUP(B548,$B$11:B547,1,FALSE)</f>
        <v>#N/A</v>
      </c>
    </row>
    <row r="549" spans="2:14">
      <c r="B549" s="122">
        <v>9283229</v>
      </c>
      <c r="C549" s="123" t="s">
        <v>649</v>
      </c>
      <c r="D549" s="124">
        <v>1</v>
      </c>
      <c r="E549" s="125"/>
      <c r="F549" s="126"/>
      <c r="G549" s="127">
        <v>15.8009</v>
      </c>
      <c r="H549" s="128" t="str">
        <f t="shared" si="26"/>
        <v>CZK</v>
      </c>
      <c r="I549" s="129"/>
      <c r="J549" s="130" t="s">
        <v>27</v>
      </c>
      <c r="L549" s="75">
        <f>G549*(1-'FORM-I'!$V$22/100)</f>
        <v>15.8009</v>
      </c>
      <c r="N549" s="11" t="e">
        <f>VLOOKUP(B549,$B$11:B548,1,FALSE)</f>
        <v>#N/A</v>
      </c>
    </row>
    <row r="550" spans="2:14">
      <c r="B550" s="122">
        <v>9283231</v>
      </c>
      <c r="C550" s="123" t="s">
        <v>650</v>
      </c>
      <c r="D550" s="124">
        <v>1</v>
      </c>
      <c r="E550" s="125"/>
      <c r="F550" s="126"/>
      <c r="G550" s="127">
        <v>27.903500000000001</v>
      </c>
      <c r="H550" s="128" t="str">
        <f t="shared" si="26"/>
        <v>CZK</v>
      </c>
      <c r="I550" s="129"/>
      <c r="J550" s="130" t="s">
        <v>27</v>
      </c>
      <c r="L550" s="75">
        <f>G550*(1-'FORM-I'!$V$22/100)</f>
        <v>27.903500000000001</v>
      </c>
      <c r="N550" s="11" t="e">
        <f>VLOOKUP(B550,$B$11:B549,1,FALSE)</f>
        <v>#N/A</v>
      </c>
    </row>
    <row r="551" spans="2:14">
      <c r="B551" s="122">
        <v>9283232</v>
      </c>
      <c r="C551" s="123" t="s">
        <v>651</v>
      </c>
      <c r="D551" s="124">
        <v>1</v>
      </c>
      <c r="E551" s="125"/>
      <c r="F551" s="126"/>
      <c r="G551" s="127">
        <v>35.971699999999998</v>
      </c>
      <c r="H551" s="128" t="str">
        <f t="shared" si="26"/>
        <v>CZK</v>
      </c>
      <c r="I551" s="129"/>
      <c r="J551" s="130" t="s">
        <v>27</v>
      </c>
      <c r="L551" s="75">
        <f>G551*(1-'FORM-I'!$V$22/100)</f>
        <v>35.971699999999998</v>
      </c>
      <c r="N551" s="11" t="e">
        <f>VLOOKUP(B551,$B$11:B550,1,FALSE)</f>
        <v>#N/A</v>
      </c>
    </row>
    <row r="552" spans="2:14">
      <c r="B552" s="122">
        <v>9283241</v>
      </c>
      <c r="C552" s="123" t="s">
        <v>652</v>
      </c>
      <c r="D552" s="124">
        <v>1</v>
      </c>
      <c r="E552" s="125"/>
      <c r="F552" s="126"/>
      <c r="G552" s="127">
        <v>13.783799999999999</v>
      </c>
      <c r="H552" s="128" t="str">
        <f t="shared" si="26"/>
        <v>CZK</v>
      </c>
      <c r="I552" s="129"/>
      <c r="J552" s="130" t="s">
        <v>27</v>
      </c>
      <c r="L552" s="75">
        <f>G552*(1-'FORM-I'!$V$22/100)</f>
        <v>13.783799999999999</v>
      </c>
      <c r="N552" s="11" t="e">
        <f>VLOOKUP(B552,$B$11:B551,1,FALSE)</f>
        <v>#N/A</v>
      </c>
    </row>
    <row r="553" spans="2:14">
      <c r="B553" s="122">
        <v>9283242</v>
      </c>
      <c r="C553" s="123" t="s">
        <v>653</v>
      </c>
      <c r="D553" s="124">
        <v>1</v>
      </c>
      <c r="E553" s="125"/>
      <c r="F553" s="126"/>
      <c r="G553" s="127">
        <v>15.8009</v>
      </c>
      <c r="H553" s="128" t="str">
        <f t="shared" si="26"/>
        <v>CZK</v>
      </c>
      <c r="I553" s="129"/>
      <c r="J553" s="130" t="s">
        <v>27</v>
      </c>
      <c r="L553" s="75">
        <f>G553*(1-'FORM-I'!$V$22/100)</f>
        <v>15.8009</v>
      </c>
      <c r="N553" s="11" t="e">
        <f>VLOOKUP(B553,$B$11:B552,1,FALSE)</f>
        <v>#N/A</v>
      </c>
    </row>
    <row r="554" spans="2:14">
      <c r="B554" s="122">
        <v>9283244</v>
      </c>
      <c r="C554" s="123" t="s">
        <v>654</v>
      </c>
      <c r="D554" s="124">
        <v>1</v>
      </c>
      <c r="E554" s="125"/>
      <c r="F554" s="126"/>
      <c r="G554" s="127">
        <v>27.903500000000001</v>
      </c>
      <c r="H554" s="128" t="str">
        <f t="shared" si="26"/>
        <v>CZK</v>
      </c>
      <c r="I554" s="129"/>
      <c r="J554" s="130" t="s">
        <v>27</v>
      </c>
      <c r="L554" s="75">
        <f>G554*(1-'FORM-I'!$V$22/100)</f>
        <v>27.903500000000001</v>
      </c>
      <c r="N554" s="11" t="e">
        <f>VLOOKUP(B554,$B$11:B553,1,FALSE)</f>
        <v>#N/A</v>
      </c>
    </row>
    <row r="555" spans="2:14">
      <c r="B555" s="165">
        <v>9283245</v>
      </c>
      <c r="C555" s="166" t="s">
        <v>655</v>
      </c>
      <c r="D555" s="167">
        <v>1</v>
      </c>
      <c r="E555" s="168"/>
      <c r="F555" s="169"/>
      <c r="G555" s="170">
        <v>35.971699999999998</v>
      </c>
      <c r="H555" s="171" t="str">
        <f t="shared" si="26"/>
        <v>CZK</v>
      </c>
      <c r="I555" s="172"/>
      <c r="J555" s="173" t="s">
        <v>27</v>
      </c>
      <c r="L555" s="75">
        <f>G555*(1-'FORM-I'!$V$22/100)</f>
        <v>35.971699999999998</v>
      </c>
      <c r="N555" s="11" t="e">
        <f>VLOOKUP(B555,$B$11:B554,1,FALSE)</f>
        <v>#N/A</v>
      </c>
    </row>
    <row r="556" spans="2:14">
      <c r="B556" s="156">
        <v>9283189</v>
      </c>
      <c r="C556" s="157" t="s">
        <v>656</v>
      </c>
      <c r="D556" s="158">
        <v>1</v>
      </c>
      <c r="E556" s="159"/>
      <c r="F556" s="160"/>
      <c r="G556" s="161">
        <v>21.790700000000001</v>
      </c>
      <c r="H556" s="162" t="str">
        <f t="shared" si="26"/>
        <v>CZK</v>
      </c>
      <c r="I556" s="163"/>
      <c r="J556" s="164" t="s">
        <v>27</v>
      </c>
      <c r="L556" s="75">
        <f>G556*(1-'FORM-I'!$V$22/100)</f>
        <v>21.790700000000001</v>
      </c>
      <c r="N556" s="11" t="e">
        <f>VLOOKUP(B556,$B$11:B555,1,FALSE)</f>
        <v>#N/A</v>
      </c>
    </row>
    <row r="557" spans="2:14">
      <c r="B557" s="122">
        <v>9283190</v>
      </c>
      <c r="C557" s="123" t="s">
        <v>657</v>
      </c>
      <c r="D557" s="124">
        <v>1</v>
      </c>
      <c r="E557" s="125"/>
      <c r="F557" s="126"/>
      <c r="G557" s="127">
        <v>24.763400000000001</v>
      </c>
      <c r="H557" s="128" t="str">
        <f t="shared" si="26"/>
        <v>CZK</v>
      </c>
      <c r="I557" s="129"/>
      <c r="J557" s="130" t="s">
        <v>27</v>
      </c>
      <c r="L557" s="75">
        <f>G557*(1-'FORM-I'!$V$22/100)</f>
        <v>24.763400000000001</v>
      </c>
      <c r="N557" s="11" t="e">
        <f>VLOOKUP(B557,$B$11:B556,1,FALSE)</f>
        <v>#N/A</v>
      </c>
    </row>
    <row r="558" spans="2:14">
      <c r="B558" s="122">
        <v>9283191</v>
      </c>
      <c r="C558" s="123" t="s">
        <v>658</v>
      </c>
      <c r="D558" s="124">
        <v>1</v>
      </c>
      <c r="E558" s="125"/>
      <c r="F558" s="126"/>
      <c r="G558" s="127">
        <v>41.272100000000002</v>
      </c>
      <c r="H558" s="128" t="str">
        <f t="shared" si="26"/>
        <v>CZK</v>
      </c>
      <c r="I558" s="129"/>
      <c r="J558" s="130" t="s">
        <v>27</v>
      </c>
      <c r="L558" s="75">
        <f>G558*(1-'FORM-I'!$V$22/100)</f>
        <v>41.272100000000002</v>
      </c>
      <c r="N558" s="11" t="e">
        <f>VLOOKUP(B558,$B$11:B557,1,FALSE)</f>
        <v>#N/A</v>
      </c>
    </row>
    <row r="559" spans="2:14">
      <c r="B559" s="122">
        <v>9283192</v>
      </c>
      <c r="C559" s="123" t="s">
        <v>659</v>
      </c>
      <c r="D559" s="124">
        <v>1</v>
      </c>
      <c r="E559" s="125"/>
      <c r="F559" s="126"/>
      <c r="G559" s="127">
        <v>53.1584</v>
      </c>
      <c r="H559" s="128" t="str">
        <f t="shared" si="26"/>
        <v>CZK</v>
      </c>
      <c r="I559" s="129"/>
      <c r="J559" s="130" t="s">
        <v>27</v>
      </c>
      <c r="L559" s="75">
        <f>G559*(1-'FORM-I'!$V$22/100)</f>
        <v>53.1584</v>
      </c>
      <c r="N559" s="11" t="e">
        <f>VLOOKUP(B559,$B$11:B558,1,FALSE)</f>
        <v>#N/A</v>
      </c>
    </row>
    <row r="560" spans="2:14">
      <c r="B560" s="122">
        <v>9283233</v>
      </c>
      <c r="C560" s="123" t="s">
        <v>660</v>
      </c>
      <c r="D560" s="124">
        <v>1</v>
      </c>
      <c r="E560" s="125"/>
      <c r="F560" s="126"/>
      <c r="G560" s="127">
        <v>21.790700000000001</v>
      </c>
      <c r="H560" s="128" t="str">
        <f t="shared" si="26"/>
        <v>CZK</v>
      </c>
      <c r="I560" s="129"/>
      <c r="J560" s="130" t="s">
        <v>27</v>
      </c>
      <c r="L560" s="75">
        <f>G560*(1-'FORM-I'!$V$22/100)</f>
        <v>21.790700000000001</v>
      </c>
      <c r="N560" s="11" t="e">
        <f>VLOOKUP(B560,$B$11:B559,1,FALSE)</f>
        <v>#N/A</v>
      </c>
    </row>
    <row r="561" spans="2:14">
      <c r="B561" s="122">
        <v>9283235</v>
      </c>
      <c r="C561" s="123" t="s">
        <v>661</v>
      </c>
      <c r="D561" s="124">
        <v>1</v>
      </c>
      <c r="E561" s="125"/>
      <c r="F561" s="126"/>
      <c r="G561" s="127">
        <v>24.763400000000001</v>
      </c>
      <c r="H561" s="128" t="str">
        <f t="shared" si="26"/>
        <v>CZK</v>
      </c>
      <c r="I561" s="129"/>
      <c r="J561" s="130" t="s">
        <v>27</v>
      </c>
      <c r="L561" s="75">
        <f>G561*(1-'FORM-I'!$V$22/100)</f>
        <v>24.763400000000001</v>
      </c>
      <c r="N561" s="11" t="e">
        <f>VLOOKUP(B561,$B$11:B560,1,FALSE)</f>
        <v>#N/A</v>
      </c>
    </row>
    <row r="562" spans="2:14">
      <c r="B562" s="122">
        <v>9283237</v>
      </c>
      <c r="C562" s="123" t="s">
        <v>662</v>
      </c>
      <c r="D562" s="124">
        <v>1</v>
      </c>
      <c r="E562" s="125"/>
      <c r="F562" s="126"/>
      <c r="G562" s="127">
        <v>41.272100000000002</v>
      </c>
      <c r="H562" s="128" t="str">
        <f t="shared" si="26"/>
        <v>CZK</v>
      </c>
      <c r="I562" s="129"/>
      <c r="J562" s="130" t="s">
        <v>27</v>
      </c>
      <c r="L562" s="75">
        <f>G562*(1-'FORM-I'!$V$22/100)</f>
        <v>41.272100000000002</v>
      </c>
      <c r="N562" s="11" t="e">
        <f>VLOOKUP(B562,$B$11:B561,1,FALSE)</f>
        <v>#N/A</v>
      </c>
    </row>
    <row r="563" spans="2:14">
      <c r="B563" s="122">
        <v>9283238</v>
      </c>
      <c r="C563" s="123" t="s">
        <v>663</v>
      </c>
      <c r="D563" s="124">
        <v>1</v>
      </c>
      <c r="E563" s="125"/>
      <c r="F563" s="126"/>
      <c r="G563" s="127">
        <v>53.1584</v>
      </c>
      <c r="H563" s="128" t="str">
        <f t="shared" si="26"/>
        <v>CZK</v>
      </c>
      <c r="I563" s="129"/>
      <c r="J563" s="130" t="s">
        <v>27</v>
      </c>
      <c r="L563" s="75">
        <f>G563*(1-'FORM-I'!$V$22/100)</f>
        <v>53.1584</v>
      </c>
      <c r="N563" s="11" t="e">
        <f>VLOOKUP(B563,$B$11:B562,1,FALSE)</f>
        <v>#N/A</v>
      </c>
    </row>
    <row r="564" spans="2:14">
      <c r="B564" s="122">
        <v>9283246</v>
      </c>
      <c r="C564" s="123" t="s">
        <v>664</v>
      </c>
      <c r="D564" s="124">
        <v>1</v>
      </c>
      <c r="E564" s="125"/>
      <c r="F564" s="126"/>
      <c r="G564" s="127">
        <v>21.790700000000001</v>
      </c>
      <c r="H564" s="128" t="str">
        <f t="shared" si="26"/>
        <v>CZK</v>
      </c>
      <c r="I564" s="129"/>
      <c r="J564" s="130" t="s">
        <v>27</v>
      </c>
      <c r="L564" s="75">
        <f>G564*(1-'FORM-I'!$V$22/100)</f>
        <v>21.790700000000001</v>
      </c>
      <c r="N564" s="11" t="e">
        <f>VLOOKUP(B564,$B$11:B563,1,FALSE)</f>
        <v>#N/A</v>
      </c>
    </row>
    <row r="565" spans="2:14">
      <c r="B565" s="122">
        <v>9283247</v>
      </c>
      <c r="C565" s="123" t="s">
        <v>665</v>
      </c>
      <c r="D565" s="124">
        <v>1</v>
      </c>
      <c r="E565" s="125"/>
      <c r="F565" s="126"/>
      <c r="G565" s="127">
        <v>24.763400000000001</v>
      </c>
      <c r="H565" s="128" t="str">
        <f t="shared" si="26"/>
        <v>CZK</v>
      </c>
      <c r="I565" s="129"/>
      <c r="J565" s="130" t="s">
        <v>27</v>
      </c>
      <c r="L565" s="75">
        <f>G565*(1-'FORM-I'!$V$22/100)</f>
        <v>24.763400000000001</v>
      </c>
      <c r="N565" s="11" t="e">
        <f>VLOOKUP(B565,$B$11:B564,1,FALSE)</f>
        <v>#N/A</v>
      </c>
    </row>
    <row r="566" spans="2:14">
      <c r="B566" s="122">
        <v>9283259</v>
      </c>
      <c r="C566" s="123" t="s">
        <v>666</v>
      </c>
      <c r="D566" s="124">
        <v>1</v>
      </c>
      <c r="E566" s="125"/>
      <c r="F566" s="126"/>
      <c r="G566" s="127">
        <v>41.272100000000002</v>
      </c>
      <c r="H566" s="128" t="str">
        <f t="shared" si="26"/>
        <v>CZK</v>
      </c>
      <c r="I566" s="129"/>
      <c r="J566" s="130" t="s">
        <v>27</v>
      </c>
      <c r="L566" s="75">
        <f>G566*(1-'FORM-I'!$V$22/100)</f>
        <v>41.272100000000002</v>
      </c>
      <c r="N566" s="11" t="e">
        <f>VLOOKUP(B566,$B$11:B565,1,FALSE)</f>
        <v>#N/A</v>
      </c>
    </row>
    <row r="567" spans="2:14">
      <c r="B567" s="165">
        <v>9283260</v>
      </c>
      <c r="C567" s="166" t="s">
        <v>667</v>
      </c>
      <c r="D567" s="167">
        <v>1</v>
      </c>
      <c r="E567" s="168"/>
      <c r="F567" s="169"/>
      <c r="G567" s="170">
        <v>53.1584</v>
      </c>
      <c r="H567" s="171" t="str">
        <f t="shared" si="26"/>
        <v>CZK</v>
      </c>
      <c r="I567" s="172"/>
      <c r="J567" s="173" t="s">
        <v>27</v>
      </c>
      <c r="L567" s="75">
        <f>G567*(1-'FORM-I'!$V$22/100)</f>
        <v>53.1584</v>
      </c>
      <c r="N567" s="11" t="e">
        <f>VLOOKUP(B567,$B$11:B566,1,FALSE)</f>
        <v>#N/A</v>
      </c>
    </row>
    <row r="568" spans="2:14">
      <c r="B568" s="165"/>
      <c r="C568" s="166"/>
      <c r="D568" s="167"/>
      <c r="E568" s="168"/>
      <c r="F568" s="169"/>
      <c r="G568" s="170"/>
      <c r="H568" s="171"/>
      <c r="I568" s="172"/>
      <c r="J568" s="173"/>
      <c r="L568" s="75">
        <f>G568*(1-'FORM-I'!$V$22/100)</f>
        <v>0</v>
      </c>
      <c r="N568" s="11" t="e">
        <f>VLOOKUP(B568,$B$11:B567,1,FALSE)</f>
        <v>#N/A</v>
      </c>
    </row>
    <row r="569" spans="2:14">
      <c r="B569" s="176">
        <v>9278225</v>
      </c>
      <c r="C569" s="177" t="s">
        <v>668</v>
      </c>
      <c r="D569" s="178">
        <v>200</v>
      </c>
      <c r="E569" s="179"/>
      <c r="F569" s="180"/>
      <c r="G569" s="181">
        <v>3.4500000000000003E-2</v>
      </c>
      <c r="H569" s="137" t="str">
        <f t="shared" ref="H569:H574" si="27">IF(G569="","",$H$10)</f>
        <v>CZK</v>
      </c>
      <c r="I569" s="129"/>
      <c r="J569" s="130" t="s">
        <v>27</v>
      </c>
      <c r="L569" s="75">
        <f>G569*(1-'FORM-I'!$V$22/100)</f>
        <v>3.4500000000000003E-2</v>
      </c>
      <c r="N569" s="11" t="e">
        <f>VLOOKUP(B569,$B$11:B568,1,FALSE)</f>
        <v>#N/A</v>
      </c>
    </row>
    <row r="570" spans="2:14">
      <c r="B570" s="131">
        <v>45167</v>
      </c>
      <c r="C570" s="132" t="s">
        <v>669</v>
      </c>
      <c r="D570" s="133">
        <v>200</v>
      </c>
      <c r="E570" s="134"/>
      <c r="F570" s="135"/>
      <c r="G570" s="136">
        <v>2.5899999999999999E-2</v>
      </c>
      <c r="H570" s="137" t="str">
        <f t="shared" si="27"/>
        <v>CZK</v>
      </c>
      <c r="I570" s="129"/>
      <c r="J570" s="130" t="s">
        <v>27</v>
      </c>
      <c r="L570" s="75">
        <f>G570*(1-'FORM-I'!$V$22/100)</f>
        <v>2.5899999999999999E-2</v>
      </c>
      <c r="N570" s="11" t="e">
        <f>VLOOKUP(B570,$B$11:B569,1,FALSE)</f>
        <v>#N/A</v>
      </c>
    </row>
    <row r="571" spans="2:14">
      <c r="B571" s="122">
        <v>45168</v>
      </c>
      <c r="C571" s="123" t="s">
        <v>670</v>
      </c>
      <c r="D571" s="124">
        <v>200</v>
      </c>
      <c r="E571" s="125"/>
      <c r="F571" s="126"/>
      <c r="G571" s="127">
        <v>3.7100000000000001E-2</v>
      </c>
      <c r="H571" s="128" t="str">
        <f t="shared" si="27"/>
        <v>CZK</v>
      </c>
      <c r="I571" s="129"/>
      <c r="J571" s="130" t="s">
        <v>27</v>
      </c>
      <c r="L571" s="75">
        <f>G571*(1-'FORM-I'!$V$22/100)</f>
        <v>3.7100000000000001E-2</v>
      </c>
      <c r="N571" s="11" t="e">
        <f>VLOOKUP(B571,$B$11:B570,1,FALSE)</f>
        <v>#N/A</v>
      </c>
    </row>
    <row r="572" spans="2:14">
      <c r="B572" s="122">
        <v>9278224</v>
      </c>
      <c r="C572" s="123" t="s">
        <v>671</v>
      </c>
      <c r="D572" s="124">
        <v>200</v>
      </c>
      <c r="E572" s="125"/>
      <c r="F572" s="126"/>
      <c r="G572" s="127">
        <v>3.4500000000000003E-2</v>
      </c>
      <c r="H572" s="128" t="str">
        <f t="shared" si="27"/>
        <v>CZK</v>
      </c>
      <c r="I572" s="129"/>
      <c r="J572" s="130" t="s">
        <v>27</v>
      </c>
      <c r="L572" s="75">
        <f>G572*(1-'FORM-I'!$V$22/100)</f>
        <v>3.4500000000000003E-2</v>
      </c>
      <c r="N572" s="11" t="e">
        <f>VLOOKUP(B572,$B$11:B571,1,FALSE)</f>
        <v>#N/A</v>
      </c>
    </row>
    <row r="573" spans="2:14">
      <c r="B573" s="122">
        <v>9279197</v>
      </c>
      <c r="C573" s="123" t="s">
        <v>672</v>
      </c>
      <c r="D573" s="124">
        <v>1000</v>
      </c>
      <c r="E573" s="125"/>
      <c r="F573" s="126"/>
      <c r="G573" s="127">
        <v>7.3200000000000001E-2</v>
      </c>
      <c r="H573" s="128" t="str">
        <f t="shared" si="27"/>
        <v>CZK</v>
      </c>
      <c r="I573" s="129"/>
      <c r="J573" s="130" t="s">
        <v>27</v>
      </c>
      <c r="L573" s="75">
        <f>G573*(1-'FORM-I'!$V$22/100)</f>
        <v>7.3200000000000001E-2</v>
      </c>
      <c r="N573" s="11" t="e">
        <f>VLOOKUP(B573,$B$11:B572,1,FALSE)</f>
        <v>#N/A</v>
      </c>
    </row>
    <row r="574" spans="2:14">
      <c r="B574" s="93">
        <v>9137114</v>
      </c>
      <c r="C574" s="94" t="s">
        <v>673</v>
      </c>
      <c r="D574" s="95">
        <v>200</v>
      </c>
      <c r="E574" s="96"/>
      <c r="F574" s="97"/>
      <c r="G574" s="98">
        <v>5.7500000000000002E-2</v>
      </c>
      <c r="H574" s="99" t="str">
        <f t="shared" si="27"/>
        <v>CZK</v>
      </c>
      <c r="I574" s="100"/>
      <c r="J574" s="101" t="s">
        <v>27</v>
      </c>
      <c r="L574" s="75">
        <f>G574*(1-'FORM-I'!$V$22/100)</f>
        <v>5.7500000000000002E-2</v>
      </c>
      <c r="N574" s="11" t="e">
        <f>VLOOKUP(B574,$B$11:B573,1,FALSE)</f>
        <v>#N/A</v>
      </c>
    </row>
    <row r="575" spans="2:14">
      <c r="B575" s="138"/>
      <c r="C575" s="139"/>
      <c r="D575" s="140"/>
      <c r="E575" s="141"/>
      <c r="F575" s="142"/>
      <c r="G575" s="143"/>
      <c r="H575" s="144"/>
      <c r="I575" s="145"/>
      <c r="J575" s="146" t="s">
        <v>27</v>
      </c>
      <c r="L575" s="75">
        <f>G575*(1-'FORM-I'!$V$22/100)</f>
        <v>0</v>
      </c>
      <c r="N575" s="11" t="e">
        <f>VLOOKUP(B575,$B$11:B574,1,FALSE)</f>
        <v>#N/A</v>
      </c>
    </row>
    <row r="576" spans="2:14">
      <c r="B576" s="156">
        <v>9318154</v>
      </c>
      <c r="C576" s="157" t="s">
        <v>674</v>
      </c>
      <c r="D576" s="158">
        <v>1</v>
      </c>
      <c r="E576" s="159"/>
      <c r="F576" s="160"/>
      <c r="G576" s="161">
        <v>28.920100000000001</v>
      </c>
      <c r="H576" s="162" t="str">
        <f t="shared" ref="H576:H578" si="28">IF(G576="","",$H$10)</f>
        <v>CZK</v>
      </c>
      <c r="I576" s="163"/>
      <c r="J576" s="164" t="s">
        <v>27</v>
      </c>
      <c r="L576" s="75">
        <f>G576*(1-'FORM-I'!$V$22/100)</f>
        <v>28.920100000000001</v>
      </c>
      <c r="N576" s="11" t="e">
        <f>VLOOKUP(B576,$B$11:B575,1,FALSE)</f>
        <v>#N/A</v>
      </c>
    </row>
    <row r="577" spans="2:14">
      <c r="B577" s="122">
        <v>9318156</v>
      </c>
      <c r="C577" s="123" t="s">
        <v>675</v>
      </c>
      <c r="D577" s="124">
        <v>1</v>
      </c>
      <c r="E577" s="125"/>
      <c r="F577" s="126"/>
      <c r="G577" s="127">
        <v>28.920100000000001</v>
      </c>
      <c r="H577" s="128" t="str">
        <f t="shared" si="28"/>
        <v>CZK</v>
      </c>
      <c r="I577" s="129"/>
      <c r="J577" s="130" t="s">
        <v>27</v>
      </c>
      <c r="L577" s="75">
        <f>G577*(1-'FORM-I'!$V$22/100)</f>
        <v>28.920100000000001</v>
      </c>
      <c r="N577" s="11" t="e">
        <f>VLOOKUP(B577,$B$11:B576,1,FALSE)</f>
        <v>#N/A</v>
      </c>
    </row>
    <row r="578" spans="2:14">
      <c r="B578" s="122">
        <v>9318160</v>
      </c>
      <c r="C578" s="123" t="s">
        <v>676</v>
      </c>
      <c r="D578" s="124">
        <v>1</v>
      </c>
      <c r="E578" s="125"/>
      <c r="F578" s="126"/>
      <c r="G578" s="127">
        <v>28.920100000000001</v>
      </c>
      <c r="H578" s="128" t="str">
        <f t="shared" si="28"/>
        <v>CZK</v>
      </c>
      <c r="I578" s="129"/>
      <c r="J578" s="130" t="s">
        <v>27</v>
      </c>
      <c r="L578" s="75">
        <f>G578*(1-'FORM-I'!$V$22/100)</f>
        <v>28.920100000000001</v>
      </c>
      <c r="N578" s="11" t="e">
        <f>VLOOKUP(B578,$B$11:B577,1,FALSE)</f>
        <v>#N/A</v>
      </c>
    </row>
    <row r="579" spans="2:14">
      <c r="B579" s="122">
        <v>9318145</v>
      </c>
      <c r="C579" s="123" t="s">
        <v>677</v>
      </c>
      <c r="D579" s="124">
        <v>10</v>
      </c>
      <c r="E579" s="125"/>
      <c r="F579" s="126"/>
      <c r="G579" s="127">
        <v>12.560700000000001</v>
      </c>
      <c r="H579" s="128" t="str">
        <f>IF(G579="","",$H$10)</f>
        <v>CZK</v>
      </c>
      <c r="I579" s="129"/>
      <c r="J579" s="130" t="s">
        <v>27</v>
      </c>
      <c r="L579" s="75">
        <f>G579*(1-'FORM-I'!$V$22/100)</f>
        <v>12.560700000000001</v>
      </c>
      <c r="N579" s="11" t="e">
        <f>VLOOKUP(B579,$B$11:B578,1,FALSE)</f>
        <v>#N/A</v>
      </c>
    </row>
    <row r="580" spans="2:14">
      <c r="B580" s="122">
        <v>9318146</v>
      </c>
      <c r="C580" s="123" t="s">
        <v>678</v>
      </c>
      <c r="D580" s="124">
        <v>10</v>
      </c>
      <c r="E580" s="125"/>
      <c r="F580" s="126"/>
      <c r="G580" s="127">
        <v>12.560700000000001</v>
      </c>
      <c r="H580" s="128" t="str">
        <f t="shared" ref="H580:H584" si="29">IF(G580="","",$H$10)</f>
        <v>CZK</v>
      </c>
      <c r="I580" s="129"/>
      <c r="J580" s="130" t="s">
        <v>27</v>
      </c>
      <c r="L580" s="75">
        <f>G580*(1-'FORM-I'!$V$22/100)</f>
        <v>12.560700000000001</v>
      </c>
      <c r="N580" s="11" t="e">
        <f>VLOOKUP(B580,$B$11:B579,1,FALSE)</f>
        <v>#N/A</v>
      </c>
    </row>
    <row r="581" spans="2:14">
      <c r="B581" s="122">
        <v>9318147</v>
      </c>
      <c r="C581" s="123" t="s">
        <v>679</v>
      </c>
      <c r="D581" s="124">
        <v>10</v>
      </c>
      <c r="E581" s="125"/>
      <c r="F581" s="126"/>
      <c r="G581" s="127">
        <v>12.560700000000001</v>
      </c>
      <c r="H581" s="128" t="str">
        <f t="shared" si="29"/>
        <v>CZK</v>
      </c>
      <c r="I581" s="129"/>
      <c r="J581" s="130" t="s">
        <v>27</v>
      </c>
      <c r="L581" s="75">
        <f>G581*(1-'FORM-I'!$V$22/100)</f>
        <v>12.560700000000001</v>
      </c>
      <c r="N581" s="11" t="e">
        <f>VLOOKUP(B581,$B$11:B580,1,FALSE)</f>
        <v>#N/A</v>
      </c>
    </row>
    <row r="582" spans="2:14">
      <c r="B582" s="122">
        <v>9318148</v>
      </c>
      <c r="C582" s="123" t="s">
        <v>680</v>
      </c>
      <c r="D582" s="124">
        <v>10</v>
      </c>
      <c r="E582" s="125"/>
      <c r="F582" s="126"/>
      <c r="G582" s="127">
        <v>12.560700000000001</v>
      </c>
      <c r="H582" s="128" t="str">
        <f t="shared" si="29"/>
        <v>CZK</v>
      </c>
      <c r="I582" s="129"/>
      <c r="J582" s="130" t="s">
        <v>27</v>
      </c>
      <c r="L582" s="75">
        <f>G582*(1-'FORM-I'!$V$22/100)</f>
        <v>12.560700000000001</v>
      </c>
      <c r="N582" s="11" t="e">
        <f>VLOOKUP(B582,$B$11:B581,1,FALSE)</f>
        <v>#N/A</v>
      </c>
    </row>
    <row r="583" spans="2:14">
      <c r="B583" s="122">
        <v>9318149</v>
      </c>
      <c r="C583" s="123" t="s">
        <v>681</v>
      </c>
      <c r="D583" s="124">
        <v>10</v>
      </c>
      <c r="E583" s="125"/>
      <c r="F583" s="126"/>
      <c r="G583" s="127">
        <v>12.560700000000001</v>
      </c>
      <c r="H583" s="128" t="str">
        <f t="shared" si="29"/>
        <v>CZK</v>
      </c>
      <c r="I583" s="129"/>
      <c r="J583" s="130" t="s">
        <v>27</v>
      </c>
      <c r="L583" s="75">
        <f>G583*(1-'FORM-I'!$V$22/100)</f>
        <v>12.560700000000001</v>
      </c>
      <c r="N583" s="11" t="e">
        <f>VLOOKUP(B583,$B$11:B582,1,FALSE)</f>
        <v>#N/A</v>
      </c>
    </row>
    <row r="584" spans="2:14">
      <c r="B584" s="165">
        <v>9318150</v>
      </c>
      <c r="C584" s="166" t="s">
        <v>682</v>
      </c>
      <c r="D584" s="167">
        <v>10</v>
      </c>
      <c r="E584" s="168"/>
      <c r="F584" s="169"/>
      <c r="G584" s="170">
        <v>12.560700000000001</v>
      </c>
      <c r="H584" s="171" t="str">
        <f t="shared" si="29"/>
        <v>CZK</v>
      </c>
      <c r="I584" s="172"/>
      <c r="J584" s="173" t="s">
        <v>27</v>
      </c>
      <c r="L584" s="75">
        <f>G584*(1-'FORM-I'!$V$22/100)</f>
        <v>12.560700000000001</v>
      </c>
      <c r="N584" s="11" t="e">
        <f>VLOOKUP(B584,$B$11:B583,1,FALSE)</f>
        <v>#N/A</v>
      </c>
    </row>
    <row r="585" spans="2:14">
      <c r="B585" s="165"/>
      <c r="C585" s="166"/>
      <c r="D585" s="167"/>
      <c r="E585" s="168"/>
      <c r="F585" s="169"/>
      <c r="G585" s="170"/>
      <c r="H585" s="171"/>
      <c r="I585" s="172"/>
      <c r="J585" s="173" t="s">
        <v>27</v>
      </c>
      <c r="L585" s="75">
        <f>G585*(1-'FORM-I'!$V$22/100)</f>
        <v>0</v>
      </c>
      <c r="N585" s="11" t="e">
        <f>VLOOKUP(B585,$B$11:B584,1,FALSE)</f>
        <v>#N/A</v>
      </c>
    </row>
    <row r="586" spans="2:14">
      <c r="B586" s="156">
        <v>9318186</v>
      </c>
      <c r="C586" s="157" t="s">
        <v>683</v>
      </c>
      <c r="D586" s="158">
        <v>1</v>
      </c>
      <c r="E586" s="159"/>
      <c r="F586" s="160"/>
      <c r="G586" s="161">
        <v>28.920100000000001</v>
      </c>
      <c r="H586" s="162" t="str">
        <f t="shared" ref="H586:H589" si="30">IF(G586="","",$H$10)</f>
        <v>CZK</v>
      </c>
      <c r="I586" s="163"/>
      <c r="J586" s="164" t="s">
        <v>27</v>
      </c>
      <c r="L586" s="75">
        <f>G586*(1-'FORM-I'!$V$22/100)</f>
        <v>28.920100000000001</v>
      </c>
      <c r="N586" s="11" t="e">
        <f>VLOOKUP(B586,$B$11:B585,1,FALSE)</f>
        <v>#N/A</v>
      </c>
    </row>
    <row r="587" spans="2:14">
      <c r="B587" s="122">
        <v>9318187</v>
      </c>
      <c r="C587" s="123" t="s">
        <v>684</v>
      </c>
      <c r="D587" s="124">
        <v>1</v>
      </c>
      <c r="E587" s="125"/>
      <c r="F587" s="126"/>
      <c r="G587" s="127">
        <v>28.920100000000001</v>
      </c>
      <c r="H587" s="128" t="str">
        <f t="shared" si="30"/>
        <v>CZK</v>
      </c>
      <c r="I587" s="129"/>
      <c r="J587" s="130" t="s">
        <v>27</v>
      </c>
      <c r="L587" s="75">
        <f>G587*(1-'FORM-I'!$V$22/100)</f>
        <v>28.920100000000001</v>
      </c>
      <c r="N587" s="11" t="e">
        <f>VLOOKUP(B587,$B$11:B586,1,FALSE)</f>
        <v>#N/A</v>
      </c>
    </row>
    <row r="588" spans="2:14">
      <c r="B588" s="122">
        <v>9318188</v>
      </c>
      <c r="C588" s="123" t="s">
        <v>685</v>
      </c>
      <c r="D588" s="124">
        <v>1</v>
      </c>
      <c r="E588" s="125"/>
      <c r="F588" s="126"/>
      <c r="G588" s="127">
        <v>28.920100000000001</v>
      </c>
      <c r="H588" s="128" t="str">
        <f t="shared" si="30"/>
        <v>CZK</v>
      </c>
      <c r="I588" s="129"/>
      <c r="J588" s="130" t="s">
        <v>27</v>
      </c>
      <c r="L588" s="75">
        <f>G588*(1-'FORM-I'!$V$22/100)</f>
        <v>28.920100000000001</v>
      </c>
      <c r="N588" s="11" t="e">
        <f>VLOOKUP(B588,$B$11:B587,1,FALSE)</f>
        <v>#N/A</v>
      </c>
    </row>
    <row r="589" spans="2:14">
      <c r="B589" s="122">
        <v>9318190</v>
      </c>
      <c r="C589" s="123" t="s">
        <v>686</v>
      </c>
      <c r="D589" s="124">
        <v>1</v>
      </c>
      <c r="E589" s="125"/>
      <c r="F589" s="126"/>
      <c r="G589" s="127">
        <v>29.2408</v>
      </c>
      <c r="H589" s="128" t="str">
        <f t="shared" si="30"/>
        <v>CZK</v>
      </c>
      <c r="I589" s="129"/>
      <c r="J589" s="130" t="s">
        <v>27</v>
      </c>
      <c r="L589" s="75">
        <f>G589*(1-'FORM-I'!$V$22/100)</f>
        <v>29.2408</v>
      </c>
      <c r="N589" s="11" t="e">
        <f>VLOOKUP(B589,$B$11:B588,1,FALSE)</f>
        <v>#N/A</v>
      </c>
    </row>
    <row r="590" spans="2:14">
      <c r="B590" s="122">
        <v>9318191</v>
      </c>
      <c r="C590" s="123" t="s">
        <v>687</v>
      </c>
      <c r="D590" s="124">
        <v>1</v>
      </c>
      <c r="E590" s="125"/>
      <c r="F590" s="126"/>
      <c r="G590" s="127">
        <v>29.559000000000001</v>
      </c>
      <c r="H590" s="128" t="str">
        <f>IF(G590="","",$H$10)</f>
        <v>CZK</v>
      </c>
      <c r="I590" s="129"/>
      <c r="J590" s="130" t="s">
        <v>27</v>
      </c>
      <c r="L590" s="75">
        <f>G590*(1-'FORM-I'!$V$22/100)</f>
        <v>29.559000000000001</v>
      </c>
      <c r="N590" s="11" t="e">
        <f>VLOOKUP(B590,$B$11:B589,1,FALSE)</f>
        <v>#N/A</v>
      </c>
    </row>
    <row r="591" spans="2:14">
      <c r="B591" s="122">
        <v>9318192</v>
      </c>
      <c r="C591" s="123" t="s">
        <v>688</v>
      </c>
      <c r="D591" s="124">
        <v>1</v>
      </c>
      <c r="E591" s="125"/>
      <c r="F591" s="126"/>
      <c r="G591" s="127">
        <v>29.879899999999999</v>
      </c>
      <c r="H591" s="128" t="str">
        <f>IF(G591="","",$H$10)</f>
        <v>CZK</v>
      </c>
      <c r="I591" s="129"/>
      <c r="J591" s="130" t="s">
        <v>27</v>
      </c>
      <c r="L591" s="75">
        <f>G591*(1-'FORM-I'!$V$22/100)</f>
        <v>29.879899999999999</v>
      </c>
      <c r="N591" s="11" t="e">
        <f>VLOOKUP(B591,$B$11:B590,1,FALSE)</f>
        <v>#N/A</v>
      </c>
    </row>
    <row r="592" spans="2:14">
      <c r="B592" s="122">
        <v>9318194</v>
      </c>
      <c r="C592" s="123" t="s">
        <v>689</v>
      </c>
      <c r="D592" s="124">
        <v>1</v>
      </c>
      <c r="E592" s="125"/>
      <c r="F592" s="126"/>
      <c r="G592" s="127">
        <v>31.588100000000001</v>
      </c>
      <c r="H592" s="128" t="str">
        <f>IF(G592="","",$H$10)</f>
        <v>CZK</v>
      </c>
      <c r="I592" s="129"/>
      <c r="J592" s="130" t="s">
        <v>27</v>
      </c>
      <c r="L592" s="75">
        <f>G592*(1-'FORM-I'!$V$22/100)</f>
        <v>31.588100000000001</v>
      </c>
      <c r="N592" s="11" t="e">
        <f>VLOOKUP(B592,$B$11:B591,1,FALSE)</f>
        <v>#N/A</v>
      </c>
    </row>
    <row r="593" spans="2:14">
      <c r="B593" s="122">
        <v>9318196</v>
      </c>
      <c r="C593" s="123" t="s">
        <v>690</v>
      </c>
      <c r="D593" s="124">
        <v>1</v>
      </c>
      <c r="E593" s="125"/>
      <c r="F593" s="126"/>
      <c r="G593" s="127">
        <v>31.9664</v>
      </c>
      <c r="H593" s="128" t="str">
        <f>IF(G593="","",$H$10)</f>
        <v>CZK</v>
      </c>
      <c r="I593" s="129"/>
      <c r="J593" s="130" t="s">
        <v>27</v>
      </c>
      <c r="L593" s="75">
        <f>G593*(1-'FORM-I'!$V$22/100)</f>
        <v>31.9664</v>
      </c>
      <c r="N593" s="11" t="e">
        <f>VLOOKUP(B593,$B$11:B592,1,FALSE)</f>
        <v>#N/A</v>
      </c>
    </row>
    <row r="594" spans="2:14">
      <c r="B594" s="122">
        <v>9318167</v>
      </c>
      <c r="C594" s="123" t="s">
        <v>691</v>
      </c>
      <c r="D594" s="124">
        <v>10</v>
      </c>
      <c r="E594" s="125"/>
      <c r="F594" s="126"/>
      <c r="G594" s="127">
        <v>12.560700000000001</v>
      </c>
      <c r="H594" s="128" t="str">
        <f t="shared" ref="H594:H609" si="31">IF(G594="","",$H$10)</f>
        <v>CZK</v>
      </c>
      <c r="I594" s="129"/>
      <c r="J594" s="130" t="s">
        <v>27</v>
      </c>
      <c r="L594" s="75">
        <f>G594*(1-'FORM-I'!$V$22/100)</f>
        <v>12.560700000000001</v>
      </c>
      <c r="N594" s="11" t="e">
        <f>VLOOKUP(B594,$B$11:B593,1,FALSE)</f>
        <v>#N/A</v>
      </c>
    </row>
    <row r="595" spans="2:14">
      <c r="B595" s="122">
        <v>9318170</v>
      </c>
      <c r="C595" s="123" t="s">
        <v>692</v>
      </c>
      <c r="D595" s="124">
        <v>10</v>
      </c>
      <c r="E595" s="125"/>
      <c r="F595" s="126"/>
      <c r="G595" s="127">
        <v>12.560700000000001</v>
      </c>
      <c r="H595" s="128" t="str">
        <f t="shared" si="31"/>
        <v>CZK</v>
      </c>
      <c r="I595" s="129"/>
      <c r="J595" s="130" t="s">
        <v>27</v>
      </c>
      <c r="L595" s="75">
        <f>G595*(1-'FORM-I'!$V$22/100)</f>
        <v>12.560700000000001</v>
      </c>
      <c r="N595" s="11" t="e">
        <f>VLOOKUP(B595,$B$11:B594,1,FALSE)</f>
        <v>#N/A</v>
      </c>
    </row>
    <row r="596" spans="2:14">
      <c r="B596" s="122">
        <v>9318171</v>
      </c>
      <c r="C596" s="123" t="s">
        <v>693</v>
      </c>
      <c r="D596" s="124">
        <v>10</v>
      </c>
      <c r="E596" s="125"/>
      <c r="F596" s="126"/>
      <c r="G596" s="127">
        <v>12.560700000000001</v>
      </c>
      <c r="H596" s="128" t="str">
        <f t="shared" si="31"/>
        <v>CZK</v>
      </c>
      <c r="I596" s="129"/>
      <c r="J596" s="130" t="s">
        <v>27</v>
      </c>
      <c r="L596" s="75">
        <f>G596*(1-'FORM-I'!$V$22/100)</f>
        <v>12.560700000000001</v>
      </c>
      <c r="N596" s="11" t="e">
        <f>VLOOKUP(B596,$B$11:B595,1,FALSE)</f>
        <v>#N/A</v>
      </c>
    </row>
    <row r="597" spans="2:14">
      <c r="B597" s="122">
        <v>9318172</v>
      </c>
      <c r="C597" s="123" t="s">
        <v>694</v>
      </c>
      <c r="D597" s="124">
        <v>10</v>
      </c>
      <c r="E597" s="125"/>
      <c r="F597" s="126"/>
      <c r="G597" s="127">
        <v>12.560700000000001</v>
      </c>
      <c r="H597" s="128" t="str">
        <f t="shared" si="31"/>
        <v>CZK</v>
      </c>
      <c r="I597" s="129"/>
      <c r="J597" s="130" t="s">
        <v>27</v>
      </c>
      <c r="L597" s="75">
        <f>G597*(1-'FORM-I'!$V$22/100)</f>
        <v>12.560700000000001</v>
      </c>
      <c r="N597" s="11" t="e">
        <f>VLOOKUP(B597,$B$11:B596,1,FALSE)</f>
        <v>#N/A</v>
      </c>
    </row>
    <row r="598" spans="2:14">
      <c r="B598" s="122">
        <v>9318173</v>
      </c>
      <c r="C598" s="123" t="s">
        <v>695</v>
      </c>
      <c r="D598" s="124">
        <v>10</v>
      </c>
      <c r="E598" s="125"/>
      <c r="F598" s="126"/>
      <c r="G598" s="127">
        <v>12.560700000000001</v>
      </c>
      <c r="H598" s="128" t="str">
        <f t="shared" si="31"/>
        <v>CZK</v>
      </c>
      <c r="I598" s="129"/>
      <c r="J598" s="130" t="s">
        <v>27</v>
      </c>
      <c r="L598" s="75">
        <f>G598*(1-'FORM-I'!$V$22/100)</f>
        <v>12.560700000000001</v>
      </c>
      <c r="N598" s="11" t="e">
        <f>VLOOKUP(B598,$B$11:B597,1,FALSE)</f>
        <v>#N/A</v>
      </c>
    </row>
    <row r="599" spans="2:14">
      <c r="B599" s="122">
        <v>9318174</v>
      </c>
      <c r="C599" s="123" t="s">
        <v>696</v>
      </c>
      <c r="D599" s="124">
        <v>10</v>
      </c>
      <c r="E599" s="125"/>
      <c r="F599" s="126"/>
      <c r="G599" s="127">
        <v>12.560700000000001</v>
      </c>
      <c r="H599" s="128" t="str">
        <f t="shared" si="31"/>
        <v>CZK</v>
      </c>
      <c r="I599" s="129"/>
      <c r="J599" s="130" t="s">
        <v>27</v>
      </c>
      <c r="L599" s="75">
        <f>G599*(1-'FORM-I'!$V$22/100)</f>
        <v>12.560700000000001</v>
      </c>
      <c r="N599" s="11" t="e">
        <f>VLOOKUP(B599,$B$11:B598,1,FALSE)</f>
        <v>#N/A</v>
      </c>
    </row>
    <row r="600" spans="2:14">
      <c r="B600" s="122">
        <v>9318175</v>
      </c>
      <c r="C600" s="123" t="s">
        <v>697</v>
      </c>
      <c r="D600" s="124">
        <v>10</v>
      </c>
      <c r="E600" s="125"/>
      <c r="F600" s="126"/>
      <c r="G600" s="127">
        <v>12.7211</v>
      </c>
      <c r="H600" s="128" t="str">
        <f t="shared" si="31"/>
        <v>CZK</v>
      </c>
      <c r="I600" s="129"/>
      <c r="J600" s="130" t="s">
        <v>27</v>
      </c>
      <c r="L600" s="75">
        <f>G600*(1-'FORM-I'!$V$22/100)</f>
        <v>12.7211</v>
      </c>
      <c r="N600" s="11" t="e">
        <f>VLOOKUP(B600,$B$11:B599,1,FALSE)</f>
        <v>#N/A</v>
      </c>
    </row>
    <row r="601" spans="2:14">
      <c r="B601" s="122">
        <v>9318176</v>
      </c>
      <c r="C601" s="123" t="s">
        <v>698</v>
      </c>
      <c r="D601" s="124">
        <v>10</v>
      </c>
      <c r="E601" s="125"/>
      <c r="F601" s="126"/>
      <c r="G601" s="127">
        <v>12.7211</v>
      </c>
      <c r="H601" s="128" t="str">
        <f t="shared" si="31"/>
        <v>CZK</v>
      </c>
      <c r="I601" s="129"/>
      <c r="J601" s="130" t="s">
        <v>27</v>
      </c>
      <c r="L601" s="75">
        <f>G601*(1-'FORM-I'!$V$22/100)</f>
        <v>12.7211</v>
      </c>
      <c r="N601" s="11" t="e">
        <f>VLOOKUP(B601,$B$11:B600,1,FALSE)</f>
        <v>#N/A</v>
      </c>
    </row>
    <row r="602" spans="2:14">
      <c r="B602" s="122">
        <v>9318177</v>
      </c>
      <c r="C602" s="123" t="s">
        <v>699</v>
      </c>
      <c r="D602" s="124">
        <v>10</v>
      </c>
      <c r="E602" s="125"/>
      <c r="F602" s="126"/>
      <c r="G602" s="127">
        <v>12.8802</v>
      </c>
      <c r="H602" s="128" t="str">
        <f t="shared" si="31"/>
        <v>CZK</v>
      </c>
      <c r="I602" s="129"/>
      <c r="J602" s="130" t="s">
        <v>27</v>
      </c>
      <c r="L602" s="75">
        <f>G602*(1-'FORM-I'!$V$22/100)</f>
        <v>12.8802</v>
      </c>
      <c r="N602" s="11" t="e">
        <f>VLOOKUP(B602,$B$11:B601,1,FALSE)</f>
        <v>#N/A</v>
      </c>
    </row>
    <row r="603" spans="2:14">
      <c r="B603" s="122">
        <v>9318178</v>
      </c>
      <c r="C603" s="123" t="s">
        <v>700</v>
      </c>
      <c r="D603" s="124">
        <v>10</v>
      </c>
      <c r="E603" s="125"/>
      <c r="F603" s="126"/>
      <c r="G603" s="127">
        <v>12.8802</v>
      </c>
      <c r="H603" s="128" t="str">
        <f t="shared" si="31"/>
        <v>CZK</v>
      </c>
      <c r="I603" s="129"/>
      <c r="J603" s="130" t="s">
        <v>27</v>
      </c>
      <c r="L603" s="75">
        <f>G603*(1-'FORM-I'!$V$22/100)</f>
        <v>12.8802</v>
      </c>
      <c r="N603" s="11" t="e">
        <f>VLOOKUP(B603,$B$11:B602,1,FALSE)</f>
        <v>#N/A</v>
      </c>
    </row>
    <row r="604" spans="2:14">
      <c r="B604" s="122">
        <v>9318179</v>
      </c>
      <c r="C604" s="123" t="s">
        <v>701</v>
      </c>
      <c r="D604" s="124">
        <v>10</v>
      </c>
      <c r="E604" s="125"/>
      <c r="F604" s="126"/>
      <c r="G604" s="127">
        <v>13.040699999999999</v>
      </c>
      <c r="H604" s="128" t="str">
        <f t="shared" si="31"/>
        <v>CZK</v>
      </c>
      <c r="I604" s="129"/>
      <c r="J604" s="130" t="s">
        <v>27</v>
      </c>
      <c r="L604" s="75">
        <f>G604*(1-'FORM-I'!$V$22/100)</f>
        <v>13.040699999999999</v>
      </c>
      <c r="N604" s="11" t="e">
        <f>VLOOKUP(B604,$B$11:B603,1,FALSE)</f>
        <v>#N/A</v>
      </c>
    </row>
    <row r="605" spans="2:14">
      <c r="B605" s="122">
        <v>9318180</v>
      </c>
      <c r="C605" s="123" t="s">
        <v>702</v>
      </c>
      <c r="D605" s="124">
        <v>10</v>
      </c>
      <c r="E605" s="125"/>
      <c r="F605" s="126"/>
      <c r="G605" s="127">
        <v>13.040699999999999</v>
      </c>
      <c r="H605" s="128" t="str">
        <f t="shared" si="31"/>
        <v>CZK</v>
      </c>
      <c r="I605" s="129"/>
      <c r="J605" s="130" t="s">
        <v>27</v>
      </c>
      <c r="L605" s="75">
        <f>G605*(1-'FORM-I'!$V$22/100)</f>
        <v>13.040699999999999</v>
      </c>
      <c r="N605" s="11" t="e">
        <f>VLOOKUP(B605,$B$11:B604,1,FALSE)</f>
        <v>#N/A</v>
      </c>
    </row>
    <row r="606" spans="2:14">
      <c r="B606" s="122">
        <v>9318181</v>
      </c>
      <c r="C606" s="123" t="s">
        <v>703</v>
      </c>
      <c r="D606" s="124">
        <v>10</v>
      </c>
      <c r="E606" s="125"/>
      <c r="F606" s="126"/>
      <c r="G606" s="127">
        <v>13.8949</v>
      </c>
      <c r="H606" s="128" t="str">
        <f t="shared" si="31"/>
        <v>CZK</v>
      </c>
      <c r="I606" s="129"/>
      <c r="J606" s="130" t="s">
        <v>27</v>
      </c>
      <c r="L606" s="75">
        <f>G606*(1-'FORM-I'!$V$22/100)</f>
        <v>13.8949</v>
      </c>
      <c r="N606" s="11" t="e">
        <f>VLOOKUP(B606,$B$11:B605,1,FALSE)</f>
        <v>#N/A</v>
      </c>
    </row>
    <row r="607" spans="2:14">
      <c r="B607" s="122">
        <v>9318182</v>
      </c>
      <c r="C607" s="123" t="s">
        <v>704</v>
      </c>
      <c r="D607" s="124">
        <v>10</v>
      </c>
      <c r="E607" s="125"/>
      <c r="F607" s="126"/>
      <c r="G607" s="127">
        <v>13.8949</v>
      </c>
      <c r="H607" s="128" t="str">
        <f t="shared" si="31"/>
        <v>CZK</v>
      </c>
      <c r="I607" s="129"/>
      <c r="J607" s="130" t="s">
        <v>27</v>
      </c>
      <c r="L607" s="75">
        <f>G607*(1-'FORM-I'!$V$22/100)</f>
        <v>13.8949</v>
      </c>
      <c r="N607" s="11" t="e">
        <f>VLOOKUP(B607,$B$11:B606,1,FALSE)</f>
        <v>#N/A</v>
      </c>
    </row>
    <row r="608" spans="2:14">
      <c r="B608" s="122">
        <v>9318183</v>
      </c>
      <c r="C608" s="123" t="s">
        <v>705</v>
      </c>
      <c r="D608" s="124">
        <v>10</v>
      </c>
      <c r="E608" s="125"/>
      <c r="F608" s="126"/>
      <c r="G608" s="127">
        <v>14.0839</v>
      </c>
      <c r="H608" s="128" t="str">
        <f t="shared" si="31"/>
        <v>CZK</v>
      </c>
      <c r="I608" s="129"/>
      <c r="J608" s="130" t="s">
        <v>27</v>
      </c>
      <c r="L608" s="75">
        <f>G608*(1-'FORM-I'!$V$22/100)</f>
        <v>14.0839</v>
      </c>
      <c r="N608" s="11" t="e">
        <f>VLOOKUP(B608,$B$11:B607,1,FALSE)</f>
        <v>#N/A</v>
      </c>
    </row>
    <row r="609" spans="2:14">
      <c r="B609" s="165">
        <v>9318184</v>
      </c>
      <c r="C609" s="166" t="s">
        <v>706</v>
      </c>
      <c r="D609" s="167">
        <v>10</v>
      </c>
      <c r="E609" s="168"/>
      <c r="F609" s="169"/>
      <c r="G609" s="170">
        <v>14.0839</v>
      </c>
      <c r="H609" s="171" t="str">
        <f t="shared" si="31"/>
        <v>CZK</v>
      </c>
      <c r="I609" s="172"/>
      <c r="J609" s="173" t="s">
        <v>27</v>
      </c>
      <c r="L609" s="75">
        <f>G609*(1-'FORM-I'!$V$22/100)</f>
        <v>14.0839</v>
      </c>
      <c r="N609" s="11" t="e">
        <f>VLOOKUP(B609,$B$11:B608,1,FALSE)</f>
        <v>#N/A</v>
      </c>
    </row>
    <row r="610" spans="2:14">
      <c r="B610" s="165"/>
      <c r="C610" s="166"/>
      <c r="D610" s="167"/>
      <c r="E610" s="168"/>
      <c r="F610" s="169"/>
      <c r="G610" s="170"/>
      <c r="H610" s="171"/>
      <c r="I610" s="172"/>
      <c r="J610" s="173" t="s">
        <v>27</v>
      </c>
      <c r="L610" s="75">
        <f>G610*(1-'FORM-I'!$V$22/100)</f>
        <v>0</v>
      </c>
      <c r="N610" s="11" t="e">
        <f>VLOOKUP(B610,$B$11:B609,1,FALSE)</f>
        <v>#N/A</v>
      </c>
    </row>
    <row r="611" spans="2:14">
      <c r="B611" s="156">
        <v>9318215</v>
      </c>
      <c r="C611" s="157" t="s">
        <v>707</v>
      </c>
      <c r="D611" s="158">
        <v>1</v>
      </c>
      <c r="E611" s="159"/>
      <c r="F611" s="160"/>
      <c r="G611" s="161">
        <v>34.306899999999999</v>
      </c>
      <c r="H611" s="162" t="str">
        <f t="shared" ref="H611:H625" si="32">IF(G611="","",$H$10)</f>
        <v>CZK</v>
      </c>
      <c r="I611" s="163"/>
      <c r="J611" s="164" t="s">
        <v>27</v>
      </c>
      <c r="L611" s="75">
        <f>G611*(1-'FORM-I'!$V$22/100)</f>
        <v>34.306899999999999</v>
      </c>
      <c r="N611" s="11" t="e">
        <f>VLOOKUP(B611,$B$11:B610,1,FALSE)</f>
        <v>#N/A</v>
      </c>
    </row>
    <row r="612" spans="2:14">
      <c r="B612" s="122">
        <v>9318216</v>
      </c>
      <c r="C612" s="123" t="s">
        <v>708</v>
      </c>
      <c r="D612" s="124">
        <v>1</v>
      </c>
      <c r="E612" s="125"/>
      <c r="F612" s="126"/>
      <c r="G612" s="127">
        <v>34.616</v>
      </c>
      <c r="H612" s="128" t="str">
        <f t="shared" si="32"/>
        <v>CZK</v>
      </c>
      <c r="I612" s="129"/>
      <c r="J612" s="130" t="s">
        <v>27</v>
      </c>
      <c r="L612" s="75">
        <f>G612*(1-'FORM-I'!$V$22/100)</f>
        <v>34.616</v>
      </c>
      <c r="N612" s="11" t="e">
        <f>VLOOKUP(B612,$B$11:B611,1,FALSE)</f>
        <v>#N/A</v>
      </c>
    </row>
    <row r="613" spans="2:14">
      <c r="B613" s="122">
        <v>9318217</v>
      </c>
      <c r="C613" s="123" t="s">
        <v>709</v>
      </c>
      <c r="D613" s="124">
        <v>1</v>
      </c>
      <c r="E613" s="125"/>
      <c r="F613" s="126"/>
      <c r="G613" s="127">
        <v>36.260800000000003</v>
      </c>
      <c r="H613" s="128" t="str">
        <f t="shared" si="32"/>
        <v>CZK</v>
      </c>
      <c r="I613" s="129"/>
      <c r="J613" s="130" t="s">
        <v>27</v>
      </c>
      <c r="L613" s="75">
        <f>G613*(1-'FORM-I'!$V$22/100)</f>
        <v>36.260800000000003</v>
      </c>
      <c r="N613" s="11" t="e">
        <f>VLOOKUP(B613,$B$11:B612,1,FALSE)</f>
        <v>#N/A</v>
      </c>
    </row>
    <row r="614" spans="2:14">
      <c r="B614" s="122">
        <v>9318218</v>
      </c>
      <c r="C614" s="123" t="s">
        <v>710</v>
      </c>
      <c r="D614" s="124">
        <v>1</v>
      </c>
      <c r="E614" s="125"/>
      <c r="F614" s="126"/>
      <c r="G614" s="127">
        <v>39.583500000000001</v>
      </c>
      <c r="H614" s="128" t="str">
        <f t="shared" si="32"/>
        <v>CZK</v>
      </c>
      <c r="I614" s="129"/>
      <c r="J614" s="130" t="s">
        <v>27</v>
      </c>
      <c r="L614" s="75">
        <f>G614*(1-'FORM-I'!$V$22/100)</f>
        <v>39.583500000000001</v>
      </c>
      <c r="N614" s="11" t="e">
        <f>VLOOKUP(B614,$B$11:B613,1,FALSE)</f>
        <v>#N/A</v>
      </c>
    </row>
    <row r="615" spans="2:14">
      <c r="B615" s="122">
        <v>9318219</v>
      </c>
      <c r="C615" s="123" t="s">
        <v>711</v>
      </c>
      <c r="D615" s="124">
        <v>1</v>
      </c>
      <c r="E615" s="125"/>
      <c r="F615" s="126"/>
      <c r="G615" s="127">
        <v>41.082900000000002</v>
      </c>
      <c r="H615" s="128" t="str">
        <f t="shared" si="32"/>
        <v>CZK</v>
      </c>
      <c r="I615" s="129"/>
      <c r="J615" s="130" t="s">
        <v>27</v>
      </c>
      <c r="L615" s="75">
        <f>G615*(1-'FORM-I'!$V$22/100)</f>
        <v>41.082900000000002</v>
      </c>
      <c r="N615" s="11" t="e">
        <f>VLOOKUP(B615,$B$11:B614,1,FALSE)</f>
        <v>#N/A</v>
      </c>
    </row>
    <row r="616" spans="2:14">
      <c r="B616" s="122">
        <v>9318198</v>
      </c>
      <c r="C616" s="123" t="s">
        <v>712</v>
      </c>
      <c r="D616" s="124">
        <v>10</v>
      </c>
      <c r="E616" s="125"/>
      <c r="F616" s="126"/>
      <c r="G616" s="127">
        <v>15.914899999999999</v>
      </c>
      <c r="H616" s="128" t="str">
        <f t="shared" si="32"/>
        <v>CZK</v>
      </c>
      <c r="I616" s="129"/>
      <c r="J616" s="130" t="s">
        <v>27</v>
      </c>
      <c r="L616" s="75">
        <f>G616*(1-'FORM-I'!$V$22/100)</f>
        <v>15.914899999999999</v>
      </c>
      <c r="N616" s="11" t="e">
        <f>VLOOKUP(B616,$B$11:B615,1,FALSE)</f>
        <v>#N/A</v>
      </c>
    </row>
    <row r="617" spans="2:14">
      <c r="B617" s="122">
        <v>9318199</v>
      </c>
      <c r="C617" s="123" t="s">
        <v>713</v>
      </c>
      <c r="D617" s="124">
        <v>10</v>
      </c>
      <c r="E617" s="125"/>
      <c r="F617" s="126"/>
      <c r="G617" s="127">
        <v>15.914899999999999</v>
      </c>
      <c r="H617" s="128" t="str">
        <f t="shared" si="32"/>
        <v>CZK</v>
      </c>
      <c r="I617" s="129"/>
      <c r="J617" s="130" t="s">
        <v>27</v>
      </c>
      <c r="L617" s="75">
        <f>G617*(1-'FORM-I'!$V$22/100)</f>
        <v>15.914899999999999</v>
      </c>
      <c r="N617" s="11" t="e">
        <f>VLOOKUP(B617,$B$11:B616,1,FALSE)</f>
        <v>#N/A</v>
      </c>
    </row>
    <row r="618" spans="2:14">
      <c r="B618" s="122">
        <v>9318201</v>
      </c>
      <c r="C618" s="123" t="s">
        <v>714</v>
      </c>
      <c r="D618" s="124">
        <v>10</v>
      </c>
      <c r="E618" s="125"/>
      <c r="F618" s="126"/>
      <c r="G618" s="127">
        <v>16.075299999999999</v>
      </c>
      <c r="H618" s="128" t="str">
        <f t="shared" si="32"/>
        <v>CZK</v>
      </c>
      <c r="I618" s="129"/>
      <c r="J618" s="130" t="s">
        <v>27</v>
      </c>
      <c r="L618" s="75">
        <f>G618*(1-'FORM-I'!$V$22/100)</f>
        <v>16.075299999999999</v>
      </c>
      <c r="N618" s="11" t="e">
        <f>VLOOKUP(B618,$B$11:B617,1,FALSE)</f>
        <v>#N/A</v>
      </c>
    </row>
    <row r="619" spans="2:14">
      <c r="B619" s="122">
        <v>9318203</v>
      </c>
      <c r="C619" s="123" t="s">
        <v>715</v>
      </c>
      <c r="D619" s="124">
        <v>10</v>
      </c>
      <c r="E619" s="125"/>
      <c r="F619" s="126"/>
      <c r="G619" s="127">
        <v>16.075299999999999</v>
      </c>
      <c r="H619" s="128" t="str">
        <f t="shared" si="32"/>
        <v>CZK</v>
      </c>
      <c r="I619" s="129"/>
      <c r="J619" s="130" t="s">
        <v>27</v>
      </c>
      <c r="L619" s="75">
        <f>G619*(1-'FORM-I'!$V$22/100)</f>
        <v>16.075299999999999</v>
      </c>
      <c r="N619" s="11" t="e">
        <f>VLOOKUP(B619,$B$11:B618,1,FALSE)</f>
        <v>#N/A</v>
      </c>
    </row>
    <row r="620" spans="2:14">
      <c r="B620" s="122">
        <v>9318208</v>
      </c>
      <c r="C620" s="123" t="s">
        <v>716</v>
      </c>
      <c r="D620" s="124">
        <v>10</v>
      </c>
      <c r="E620" s="125"/>
      <c r="F620" s="126"/>
      <c r="G620" s="127">
        <v>16.929400000000001</v>
      </c>
      <c r="H620" s="128" t="str">
        <f t="shared" si="32"/>
        <v>CZK</v>
      </c>
      <c r="I620" s="129"/>
      <c r="J620" s="130" t="s">
        <v>27</v>
      </c>
      <c r="L620" s="75">
        <f>G620*(1-'FORM-I'!$V$22/100)</f>
        <v>16.929400000000001</v>
      </c>
      <c r="N620" s="11" t="e">
        <f>VLOOKUP(B620,$B$11:B619,1,FALSE)</f>
        <v>#N/A</v>
      </c>
    </row>
    <row r="621" spans="2:14">
      <c r="B621" s="122">
        <v>9318209</v>
      </c>
      <c r="C621" s="123" t="s">
        <v>717</v>
      </c>
      <c r="D621" s="124">
        <v>10</v>
      </c>
      <c r="E621" s="125"/>
      <c r="F621" s="126"/>
      <c r="G621" s="127">
        <v>16.929400000000001</v>
      </c>
      <c r="H621" s="128" t="str">
        <f t="shared" si="32"/>
        <v>CZK</v>
      </c>
      <c r="I621" s="129"/>
      <c r="J621" s="130" t="s">
        <v>27</v>
      </c>
      <c r="L621" s="75">
        <f>G621*(1-'FORM-I'!$V$22/100)</f>
        <v>16.929400000000001</v>
      </c>
      <c r="N621" s="11" t="e">
        <f>VLOOKUP(B621,$B$11:B620,1,FALSE)</f>
        <v>#N/A</v>
      </c>
    </row>
    <row r="622" spans="2:14">
      <c r="B622" s="122">
        <v>9318211</v>
      </c>
      <c r="C622" s="123" t="s">
        <v>718</v>
      </c>
      <c r="D622" s="124">
        <v>10</v>
      </c>
      <c r="E622" s="125"/>
      <c r="F622" s="126"/>
      <c r="G622" s="127">
        <v>18.654800000000002</v>
      </c>
      <c r="H622" s="128" t="str">
        <f t="shared" si="32"/>
        <v>CZK</v>
      </c>
      <c r="I622" s="129"/>
      <c r="J622" s="130" t="s">
        <v>27</v>
      </c>
      <c r="L622" s="75">
        <f>G622*(1-'FORM-I'!$V$22/100)</f>
        <v>18.654800000000002</v>
      </c>
      <c r="N622" s="11" t="e">
        <f>VLOOKUP(B622,$B$11:B621,1,FALSE)</f>
        <v>#N/A</v>
      </c>
    </row>
    <row r="623" spans="2:14">
      <c r="B623" s="122">
        <v>9318212</v>
      </c>
      <c r="C623" s="123" t="s">
        <v>719</v>
      </c>
      <c r="D623" s="124">
        <v>10</v>
      </c>
      <c r="E623" s="125"/>
      <c r="F623" s="126"/>
      <c r="G623" s="127">
        <v>18.654800000000002</v>
      </c>
      <c r="H623" s="128" t="str">
        <f t="shared" si="32"/>
        <v>CZK</v>
      </c>
      <c r="I623" s="129"/>
      <c r="J623" s="130" t="s">
        <v>27</v>
      </c>
      <c r="L623" s="75">
        <f>G623*(1-'FORM-I'!$V$22/100)</f>
        <v>18.654800000000002</v>
      </c>
      <c r="N623" s="11" t="e">
        <f>VLOOKUP(B623,$B$11:B622,1,FALSE)</f>
        <v>#N/A</v>
      </c>
    </row>
    <row r="624" spans="2:14">
      <c r="B624" s="122">
        <v>9318213</v>
      </c>
      <c r="C624" s="123" t="s">
        <v>720</v>
      </c>
      <c r="D624" s="124">
        <v>5</v>
      </c>
      <c r="E624" s="125"/>
      <c r="F624" s="126"/>
      <c r="G624" s="127">
        <v>19.433199999999999</v>
      </c>
      <c r="H624" s="128" t="str">
        <f t="shared" si="32"/>
        <v>CZK</v>
      </c>
      <c r="I624" s="129"/>
      <c r="J624" s="130" t="s">
        <v>27</v>
      </c>
      <c r="L624" s="75">
        <f>G624*(1-'FORM-I'!$V$22/100)</f>
        <v>19.433199999999999</v>
      </c>
      <c r="N624" s="11" t="e">
        <f>VLOOKUP(B624,$B$11:B623,1,FALSE)</f>
        <v>#N/A</v>
      </c>
    </row>
    <row r="625" spans="2:14">
      <c r="B625" s="165">
        <v>9318214</v>
      </c>
      <c r="C625" s="166" t="s">
        <v>721</v>
      </c>
      <c r="D625" s="167">
        <v>5</v>
      </c>
      <c r="E625" s="168"/>
      <c r="F625" s="169"/>
      <c r="G625" s="170">
        <v>19.433199999999999</v>
      </c>
      <c r="H625" s="171" t="str">
        <f t="shared" si="32"/>
        <v>CZK</v>
      </c>
      <c r="I625" s="172"/>
      <c r="J625" s="173" t="s">
        <v>27</v>
      </c>
      <c r="L625" s="75">
        <f>G625*(1-'FORM-I'!$V$22/100)</f>
        <v>19.433199999999999</v>
      </c>
      <c r="N625" s="11" t="e">
        <f>VLOOKUP(B625,$B$11:B624,1,FALSE)</f>
        <v>#N/A</v>
      </c>
    </row>
    <row r="626" spans="2:14">
      <c r="B626" s="165"/>
      <c r="C626" s="166"/>
      <c r="D626" s="167"/>
      <c r="E626" s="168"/>
      <c r="F626" s="169"/>
      <c r="G626" s="170"/>
      <c r="H626" s="171"/>
      <c r="I626" s="172"/>
      <c r="J626" s="173" t="s">
        <v>27</v>
      </c>
      <c r="L626" s="75">
        <f>G626*(1-'FORM-I'!$V$22/100)</f>
        <v>0</v>
      </c>
      <c r="N626" s="11" t="e">
        <f>VLOOKUP(B626,$B$11:B625,1,FALSE)</f>
        <v>#N/A</v>
      </c>
    </row>
    <row r="627" spans="2:14">
      <c r="B627" s="156">
        <v>9257890</v>
      </c>
      <c r="C627" s="157" t="s">
        <v>722</v>
      </c>
      <c r="D627" s="158">
        <v>1</v>
      </c>
      <c r="E627" s="159"/>
      <c r="F627" s="160"/>
      <c r="G627" s="161">
        <v>28.579599999999999</v>
      </c>
      <c r="H627" s="162" t="str">
        <f t="shared" ref="H627:H635" si="33">IF(G627="","",$H$10)</f>
        <v>CZK</v>
      </c>
      <c r="I627" s="163"/>
      <c r="J627" s="164" t="s">
        <v>27</v>
      </c>
      <c r="L627" s="75">
        <f>G627*(1-'FORM-I'!$V$22/100)</f>
        <v>28.579599999999999</v>
      </c>
      <c r="N627" s="11" t="e">
        <f>VLOOKUP(B627,$B$11:B626,1,FALSE)</f>
        <v>#N/A</v>
      </c>
    </row>
    <row r="628" spans="2:14">
      <c r="B628" s="122">
        <v>9257891</v>
      </c>
      <c r="C628" s="123" t="s">
        <v>723</v>
      </c>
      <c r="D628" s="124">
        <v>1</v>
      </c>
      <c r="E628" s="125"/>
      <c r="F628" s="126"/>
      <c r="G628" s="127">
        <v>28.579599999999999</v>
      </c>
      <c r="H628" s="128" t="str">
        <f t="shared" si="33"/>
        <v>CZK</v>
      </c>
      <c r="I628" s="129"/>
      <c r="J628" s="130" t="s">
        <v>27</v>
      </c>
      <c r="L628" s="75">
        <f>G628*(1-'FORM-I'!$V$22/100)</f>
        <v>28.579599999999999</v>
      </c>
      <c r="N628" s="11" t="e">
        <f>VLOOKUP(B628,$B$11:B627,1,FALSE)</f>
        <v>#N/A</v>
      </c>
    </row>
    <row r="629" spans="2:14">
      <c r="B629" s="122">
        <v>9257892</v>
      </c>
      <c r="C629" s="123" t="s">
        <v>724</v>
      </c>
      <c r="D629" s="124">
        <v>1</v>
      </c>
      <c r="E629" s="125"/>
      <c r="F629" s="126"/>
      <c r="G629" s="127">
        <v>28.579599999999999</v>
      </c>
      <c r="H629" s="128" t="str">
        <f t="shared" si="33"/>
        <v>CZK</v>
      </c>
      <c r="I629" s="129"/>
      <c r="J629" s="130" t="s">
        <v>27</v>
      </c>
      <c r="L629" s="75">
        <f>G629*(1-'FORM-I'!$V$22/100)</f>
        <v>28.579599999999999</v>
      </c>
      <c r="N629" s="11" t="e">
        <f>VLOOKUP(B629,$B$11:B628,1,FALSE)</f>
        <v>#N/A</v>
      </c>
    </row>
    <row r="630" spans="2:14">
      <c r="B630" s="165">
        <v>9257893</v>
      </c>
      <c r="C630" s="166" t="s">
        <v>725</v>
      </c>
      <c r="D630" s="167">
        <v>1</v>
      </c>
      <c r="E630" s="168"/>
      <c r="F630" s="169"/>
      <c r="G630" s="170">
        <v>28.579599999999999</v>
      </c>
      <c r="H630" s="171" t="str">
        <f t="shared" si="33"/>
        <v>CZK</v>
      </c>
      <c r="I630" s="172"/>
      <c r="J630" s="173" t="s">
        <v>27</v>
      </c>
      <c r="L630" s="75">
        <f>G630*(1-'FORM-I'!$V$22/100)</f>
        <v>28.579599999999999</v>
      </c>
      <c r="N630" s="11" t="e">
        <f>VLOOKUP(B630,$B$11:B629,1,FALSE)</f>
        <v>#N/A</v>
      </c>
    </row>
    <row r="631" spans="2:14">
      <c r="B631" s="156">
        <v>9236718</v>
      </c>
      <c r="C631" s="157" t="s">
        <v>726</v>
      </c>
      <c r="D631" s="158">
        <v>100</v>
      </c>
      <c r="E631" s="159"/>
      <c r="F631" s="160"/>
      <c r="G631" s="161">
        <v>7.1741999999999999</v>
      </c>
      <c r="H631" s="162" t="str">
        <f t="shared" si="33"/>
        <v>CZK</v>
      </c>
      <c r="I631" s="163"/>
      <c r="J631" s="164" t="s">
        <v>27</v>
      </c>
      <c r="L631" s="75">
        <f>G631*(1-'FORM-I'!$V$22/100)</f>
        <v>7.1741999999999999</v>
      </c>
      <c r="N631" s="11" t="e">
        <f>VLOOKUP(B631,$B$11:B630,1,FALSE)</f>
        <v>#N/A</v>
      </c>
    </row>
    <row r="632" spans="2:14">
      <c r="B632" s="122">
        <v>9221295</v>
      </c>
      <c r="C632" s="123" t="s">
        <v>727</v>
      </c>
      <c r="D632" s="124">
        <v>20</v>
      </c>
      <c r="E632" s="125"/>
      <c r="F632" s="126"/>
      <c r="G632" s="127">
        <v>0.64980000000000004</v>
      </c>
      <c r="H632" s="128" t="str">
        <f t="shared" si="33"/>
        <v>CZK</v>
      </c>
      <c r="I632" s="129"/>
      <c r="J632" s="130" t="s">
        <v>27</v>
      </c>
      <c r="L632" s="75">
        <f>G632*(1-'FORM-I'!$V$22/100)</f>
        <v>0.64980000000000004</v>
      </c>
      <c r="N632" s="11" t="e">
        <f>VLOOKUP(B632,$B$11:B631,1,FALSE)</f>
        <v>#N/A</v>
      </c>
    </row>
    <row r="633" spans="2:14">
      <c r="B633" s="122">
        <v>9278452</v>
      </c>
      <c r="C633" s="123" t="s">
        <v>728</v>
      </c>
      <c r="D633" s="124">
        <v>20</v>
      </c>
      <c r="E633" s="125"/>
      <c r="F633" s="126"/>
      <c r="G633" s="127">
        <v>1.8563000000000001</v>
      </c>
      <c r="H633" s="128" t="str">
        <f t="shared" si="33"/>
        <v>CZK</v>
      </c>
      <c r="I633" s="129"/>
      <c r="J633" s="130" t="s">
        <v>27</v>
      </c>
      <c r="L633" s="75">
        <f>G633*(1-'FORM-I'!$V$22/100)</f>
        <v>1.8563000000000001</v>
      </c>
      <c r="N633" s="11" t="e">
        <f>VLOOKUP(B633,$B$11:B632,1,FALSE)</f>
        <v>#N/A</v>
      </c>
    </row>
    <row r="634" spans="2:14">
      <c r="B634" s="122">
        <v>9262213</v>
      </c>
      <c r="C634" s="123" t="s">
        <v>729</v>
      </c>
      <c r="D634" s="124">
        <v>20</v>
      </c>
      <c r="E634" s="125"/>
      <c r="F634" s="126"/>
      <c r="G634" s="127">
        <v>3.8786</v>
      </c>
      <c r="H634" s="128" t="str">
        <f t="shared" si="33"/>
        <v>CZK</v>
      </c>
      <c r="I634" s="129"/>
      <c r="J634" s="130" t="s">
        <v>27</v>
      </c>
      <c r="L634" s="75">
        <f>G634*(1-'FORM-I'!$V$22/100)</f>
        <v>3.8786</v>
      </c>
      <c r="N634" s="11" t="e">
        <f>VLOOKUP(B634,$B$11:B633,1,FALSE)</f>
        <v>#N/A</v>
      </c>
    </row>
    <row r="635" spans="2:14">
      <c r="B635" s="165">
        <v>9278453</v>
      </c>
      <c r="C635" s="166" t="s">
        <v>730</v>
      </c>
      <c r="D635" s="167">
        <v>1</v>
      </c>
      <c r="E635" s="168"/>
      <c r="F635" s="169"/>
      <c r="G635" s="170">
        <v>37.07</v>
      </c>
      <c r="H635" s="171" t="str">
        <f t="shared" si="33"/>
        <v>CZK</v>
      </c>
      <c r="I635" s="172"/>
      <c r="J635" s="173" t="s">
        <v>27</v>
      </c>
      <c r="L635" s="75">
        <f>G635*(1-'FORM-I'!$V$22/100)</f>
        <v>37.07</v>
      </c>
      <c r="N635" s="11" t="e">
        <f>VLOOKUP(B635,$B$11:B634,1,FALSE)</f>
        <v>#N/A</v>
      </c>
    </row>
    <row r="636" spans="2:14">
      <c r="B636" s="165"/>
      <c r="C636" s="166"/>
      <c r="D636" s="167"/>
      <c r="E636" s="168"/>
      <c r="F636" s="169"/>
      <c r="G636" s="170"/>
      <c r="H636" s="171"/>
      <c r="I636" s="172"/>
      <c r="J636" s="173" t="s">
        <v>27</v>
      </c>
      <c r="L636" s="75">
        <f>G636*(1-'FORM-I'!$V$22/100)</f>
        <v>0</v>
      </c>
      <c r="N636" s="11" t="e">
        <f>VLOOKUP(B636,$B$11:B635,1,FALSE)</f>
        <v>#N/A</v>
      </c>
    </row>
    <row r="637" spans="2:14">
      <c r="B637" s="156">
        <v>9256953</v>
      </c>
      <c r="C637" s="157" t="s">
        <v>731</v>
      </c>
      <c r="D637" s="158">
        <v>1</v>
      </c>
      <c r="E637" s="159"/>
      <c r="F637" s="160"/>
      <c r="G637" s="161">
        <v>19.875699999999998</v>
      </c>
      <c r="H637" s="162" t="str">
        <f t="shared" ref="H637" si="34">IF(G637="","",$H$10)</f>
        <v>CZK</v>
      </c>
      <c r="I637" s="163"/>
      <c r="J637" s="164" t="s">
        <v>27</v>
      </c>
      <c r="L637" s="75">
        <f>G637*(1-'FORM-I'!$V$22/100)</f>
        <v>19.875699999999998</v>
      </c>
      <c r="N637" s="11" t="e">
        <f>VLOOKUP(B637,$B$11:B636,1,FALSE)</f>
        <v>#N/A</v>
      </c>
    </row>
    <row r="638" spans="2:14">
      <c r="B638" s="122">
        <v>9256954</v>
      </c>
      <c r="C638" s="123" t="s">
        <v>732</v>
      </c>
      <c r="D638" s="124">
        <v>1</v>
      </c>
      <c r="E638" s="125"/>
      <c r="F638" s="126"/>
      <c r="G638" s="127">
        <v>19.9161</v>
      </c>
      <c r="H638" s="128" t="str">
        <f>IF(G638="","",$H$10)</f>
        <v>CZK</v>
      </c>
      <c r="I638" s="129"/>
      <c r="J638" s="130" t="s">
        <v>27</v>
      </c>
      <c r="L638" s="75">
        <f>G638*(1-'FORM-I'!$V$22/100)</f>
        <v>19.9161</v>
      </c>
      <c r="N638" s="11" t="e">
        <f>VLOOKUP(B638,$B$11:B637,1,FALSE)</f>
        <v>#N/A</v>
      </c>
    </row>
    <row r="639" spans="2:14">
      <c r="B639" s="122">
        <v>9256956</v>
      </c>
      <c r="C639" s="123" t="s">
        <v>733</v>
      </c>
      <c r="D639" s="124">
        <v>1</v>
      </c>
      <c r="E639" s="125"/>
      <c r="F639" s="126"/>
      <c r="G639" s="127">
        <v>20.319099999999999</v>
      </c>
      <c r="H639" s="128" t="str">
        <f>IF(G639="","",$H$10)</f>
        <v>CZK</v>
      </c>
      <c r="I639" s="129"/>
      <c r="J639" s="130" t="s">
        <v>27</v>
      </c>
      <c r="L639" s="75">
        <f>G639*(1-'FORM-I'!$V$22/100)</f>
        <v>20.319099999999999</v>
      </c>
      <c r="N639" s="11" t="e">
        <f>VLOOKUP(B639,$B$11:B638,1,FALSE)</f>
        <v>#N/A</v>
      </c>
    </row>
    <row r="640" spans="2:14">
      <c r="B640" s="122">
        <v>9256944</v>
      </c>
      <c r="C640" s="123" t="s">
        <v>734</v>
      </c>
      <c r="D640" s="124">
        <v>20</v>
      </c>
      <c r="E640" s="125"/>
      <c r="F640" s="126"/>
      <c r="G640" s="127">
        <v>9.2933000000000003</v>
      </c>
      <c r="H640" s="128" t="str">
        <f>IF(G640="","",$H$10)</f>
        <v>CZK</v>
      </c>
      <c r="I640" s="129"/>
      <c r="J640" s="130" t="s">
        <v>27</v>
      </c>
      <c r="L640" s="75">
        <f>G640*(1-'FORM-I'!$V$22/100)</f>
        <v>9.2933000000000003</v>
      </c>
      <c r="N640" s="11" t="e">
        <f>VLOOKUP(B640,$B$11:B639,1,FALSE)</f>
        <v>#N/A</v>
      </c>
    </row>
    <row r="641" spans="2:14">
      <c r="B641" s="122">
        <v>9256945</v>
      </c>
      <c r="C641" s="123" t="s">
        <v>735</v>
      </c>
      <c r="D641" s="124">
        <v>20</v>
      </c>
      <c r="E641" s="125"/>
      <c r="F641" s="126"/>
      <c r="G641" s="127">
        <v>9.2933000000000003</v>
      </c>
      <c r="H641" s="128" t="str">
        <f>IF(G641="","",$H$10)</f>
        <v>CZK</v>
      </c>
      <c r="I641" s="129"/>
      <c r="J641" s="130" t="s">
        <v>27</v>
      </c>
      <c r="L641" s="75">
        <f>G641*(1-'FORM-I'!$V$22/100)</f>
        <v>9.2933000000000003</v>
      </c>
      <c r="N641" s="11" t="e">
        <f>VLOOKUP(B641,$B$11:B640,1,FALSE)</f>
        <v>#N/A</v>
      </c>
    </row>
    <row r="642" spans="2:14">
      <c r="B642" s="122">
        <v>9256946</v>
      </c>
      <c r="C642" s="123" t="s">
        <v>736</v>
      </c>
      <c r="D642" s="124">
        <v>20</v>
      </c>
      <c r="E642" s="125"/>
      <c r="F642" s="126"/>
      <c r="G642" s="127">
        <v>9.3132999999999999</v>
      </c>
      <c r="H642" s="128" t="str">
        <f t="shared" ref="H642:H645" si="35">IF(G642="","",$H$10)</f>
        <v>CZK</v>
      </c>
      <c r="I642" s="129"/>
      <c r="J642" s="130" t="s">
        <v>27</v>
      </c>
      <c r="L642" s="75">
        <f>G642*(1-'FORM-I'!$V$22/100)</f>
        <v>9.3132999999999999</v>
      </c>
      <c r="N642" s="11" t="e">
        <f>VLOOKUP(B642,$B$11:B641,1,FALSE)</f>
        <v>#N/A</v>
      </c>
    </row>
    <row r="643" spans="2:14">
      <c r="B643" s="122">
        <v>9256947</v>
      </c>
      <c r="C643" s="123" t="s">
        <v>737</v>
      </c>
      <c r="D643" s="124">
        <v>20</v>
      </c>
      <c r="E643" s="125"/>
      <c r="F643" s="126"/>
      <c r="G643" s="127">
        <v>9.3132999999999999</v>
      </c>
      <c r="H643" s="128" t="str">
        <f t="shared" si="35"/>
        <v>CZK</v>
      </c>
      <c r="I643" s="129"/>
      <c r="J643" s="130" t="s">
        <v>27</v>
      </c>
      <c r="L643" s="75">
        <f>G643*(1-'FORM-I'!$V$22/100)</f>
        <v>9.3132999999999999</v>
      </c>
      <c r="N643" s="11" t="e">
        <f>VLOOKUP(B643,$B$11:B642,1,FALSE)</f>
        <v>#N/A</v>
      </c>
    </row>
    <row r="644" spans="2:14">
      <c r="B644" s="122">
        <v>9256950</v>
      </c>
      <c r="C644" s="123" t="s">
        <v>738</v>
      </c>
      <c r="D644" s="124">
        <v>20</v>
      </c>
      <c r="E644" s="125"/>
      <c r="F644" s="126"/>
      <c r="G644" s="127">
        <v>9.5147999999999993</v>
      </c>
      <c r="H644" s="128" t="str">
        <f t="shared" si="35"/>
        <v>CZK</v>
      </c>
      <c r="I644" s="129"/>
      <c r="J644" s="130" t="s">
        <v>27</v>
      </c>
      <c r="L644" s="75">
        <f>G644*(1-'FORM-I'!$V$22/100)</f>
        <v>9.5147999999999993</v>
      </c>
      <c r="N644" s="11" t="e">
        <f>VLOOKUP(B644,$B$11:B643,1,FALSE)</f>
        <v>#N/A</v>
      </c>
    </row>
    <row r="645" spans="2:14">
      <c r="B645" s="165">
        <v>9256951</v>
      </c>
      <c r="C645" s="166" t="s">
        <v>739</v>
      </c>
      <c r="D645" s="167">
        <v>20</v>
      </c>
      <c r="E645" s="168"/>
      <c r="F645" s="169"/>
      <c r="G645" s="170">
        <v>9.5147999999999993</v>
      </c>
      <c r="H645" s="171" t="str">
        <f t="shared" si="35"/>
        <v>CZK</v>
      </c>
      <c r="I645" s="172"/>
      <c r="J645" s="173" t="s">
        <v>27</v>
      </c>
      <c r="L645" s="75">
        <f>G645*(1-'FORM-I'!$V$22/100)</f>
        <v>9.5147999999999993</v>
      </c>
      <c r="N645" s="11" t="e">
        <f>VLOOKUP(B645,$B$11:B644,1,FALSE)</f>
        <v>#N/A</v>
      </c>
    </row>
    <row r="646" spans="2:14">
      <c r="B646" s="165"/>
      <c r="C646" s="166"/>
      <c r="D646" s="167"/>
      <c r="E646" s="168"/>
      <c r="F646" s="169"/>
      <c r="G646" s="170"/>
      <c r="H646" s="171"/>
      <c r="I646" s="172"/>
      <c r="J646" s="173" t="s">
        <v>27</v>
      </c>
      <c r="L646" s="75">
        <f>G646*(1-'FORM-I'!$V$22/100)</f>
        <v>0</v>
      </c>
      <c r="N646" s="11" t="e">
        <f>VLOOKUP(B646,$B$11:B645,1,FALSE)</f>
        <v>#N/A</v>
      </c>
    </row>
    <row r="647" spans="2:14">
      <c r="B647" s="156">
        <v>9256883</v>
      </c>
      <c r="C647" s="157" t="s">
        <v>740</v>
      </c>
      <c r="D647" s="158">
        <v>1</v>
      </c>
      <c r="E647" s="159"/>
      <c r="F647" s="160"/>
      <c r="G647" s="161">
        <v>19.875699999999998</v>
      </c>
      <c r="H647" s="162" t="str">
        <f t="shared" ref="H647:H670" si="36">IF(G647="","",$H$10)</f>
        <v>CZK</v>
      </c>
      <c r="I647" s="163"/>
      <c r="J647" s="164" t="s">
        <v>27</v>
      </c>
      <c r="L647" s="75">
        <f>G647*(1-'FORM-I'!$V$22/100)</f>
        <v>19.875699999999998</v>
      </c>
      <c r="N647" s="11" t="e">
        <f>VLOOKUP(B647,$B$11:B646,1,FALSE)</f>
        <v>#N/A</v>
      </c>
    </row>
    <row r="648" spans="2:14">
      <c r="B648" s="122">
        <v>9256884</v>
      </c>
      <c r="C648" s="123" t="s">
        <v>741</v>
      </c>
      <c r="D648" s="124">
        <v>1</v>
      </c>
      <c r="E648" s="125"/>
      <c r="F648" s="126"/>
      <c r="G648" s="127">
        <v>19.9161</v>
      </c>
      <c r="H648" s="128" t="str">
        <f t="shared" si="36"/>
        <v>CZK</v>
      </c>
      <c r="I648" s="129"/>
      <c r="J648" s="130" t="s">
        <v>27</v>
      </c>
      <c r="L648" s="75">
        <f>G648*(1-'FORM-I'!$V$22/100)</f>
        <v>19.9161</v>
      </c>
      <c r="N648" s="11" t="e">
        <f>VLOOKUP(B648,$B$11:B647,1,FALSE)</f>
        <v>#N/A</v>
      </c>
    </row>
    <row r="649" spans="2:14">
      <c r="B649" s="122">
        <v>9256886</v>
      </c>
      <c r="C649" s="123" t="s">
        <v>742</v>
      </c>
      <c r="D649" s="124">
        <v>1</v>
      </c>
      <c r="E649" s="125"/>
      <c r="F649" s="126"/>
      <c r="G649" s="127">
        <v>20.319099999999999</v>
      </c>
      <c r="H649" s="128" t="str">
        <f t="shared" si="36"/>
        <v>CZK</v>
      </c>
      <c r="I649" s="129"/>
      <c r="J649" s="130" t="s">
        <v>27</v>
      </c>
      <c r="L649" s="75">
        <f>G649*(1-'FORM-I'!$V$22/100)</f>
        <v>20.319099999999999</v>
      </c>
      <c r="N649" s="11" t="e">
        <f>VLOOKUP(B649,$B$11:B648,1,FALSE)</f>
        <v>#N/A</v>
      </c>
    </row>
    <row r="650" spans="2:14">
      <c r="B650" s="122">
        <v>9256888</v>
      </c>
      <c r="C650" s="123" t="s">
        <v>743</v>
      </c>
      <c r="D650" s="124">
        <v>1</v>
      </c>
      <c r="E650" s="125"/>
      <c r="F650" s="126"/>
      <c r="G650" s="127">
        <v>20.722000000000001</v>
      </c>
      <c r="H650" s="128" t="str">
        <f t="shared" si="36"/>
        <v>CZK</v>
      </c>
      <c r="I650" s="129"/>
      <c r="J650" s="130" t="s">
        <v>27</v>
      </c>
      <c r="L650" s="75">
        <f>G650*(1-'FORM-I'!$V$22/100)</f>
        <v>20.722000000000001</v>
      </c>
      <c r="N650" s="11" t="e">
        <f>VLOOKUP(B650,$B$11:B649,1,FALSE)</f>
        <v>#N/A</v>
      </c>
    </row>
    <row r="651" spans="2:14">
      <c r="B651" s="122">
        <v>9256890</v>
      </c>
      <c r="C651" s="123" t="s">
        <v>744</v>
      </c>
      <c r="D651" s="124">
        <v>1</v>
      </c>
      <c r="E651" s="125"/>
      <c r="F651" s="126"/>
      <c r="G651" s="127">
        <v>21.1249</v>
      </c>
      <c r="H651" s="128" t="str">
        <f t="shared" si="36"/>
        <v>CZK</v>
      </c>
      <c r="I651" s="129"/>
      <c r="J651" s="130" t="s">
        <v>27</v>
      </c>
      <c r="L651" s="75">
        <f>G651*(1-'FORM-I'!$V$22/100)</f>
        <v>21.1249</v>
      </c>
      <c r="N651" s="11" t="e">
        <f>VLOOKUP(B651,$B$11:B650,1,FALSE)</f>
        <v>#N/A</v>
      </c>
    </row>
    <row r="652" spans="2:14">
      <c r="B652" s="122">
        <v>9256892</v>
      </c>
      <c r="C652" s="123" t="s">
        <v>745</v>
      </c>
      <c r="D652" s="124">
        <v>1</v>
      </c>
      <c r="E652" s="125"/>
      <c r="F652" s="126"/>
      <c r="G652" s="127">
        <v>21.527799999999999</v>
      </c>
      <c r="H652" s="128" t="str">
        <f t="shared" si="36"/>
        <v>CZK</v>
      </c>
      <c r="I652" s="129"/>
      <c r="J652" s="130" t="s">
        <v>27</v>
      </c>
      <c r="L652" s="75">
        <f>G652*(1-'FORM-I'!$V$22/100)</f>
        <v>21.527799999999999</v>
      </c>
      <c r="N652" s="11" t="e">
        <f>VLOOKUP(B652,$B$11:B651,1,FALSE)</f>
        <v>#N/A</v>
      </c>
    </row>
    <row r="653" spans="2:14">
      <c r="B653" s="122">
        <v>9256894</v>
      </c>
      <c r="C653" s="123" t="s">
        <v>746</v>
      </c>
      <c r="D653" s="124">
        <v>1</v>
      </c>
      <c r="E653" s="125"/>
      <c r="F653" s="126"/>
      <c r="G653" s="127">
        <v>21.930900000000001</v>
      </c>
      <c r="H653" s="128" t="str">
        <f t="shared" si="36"/>
        <v>CZK</v>
      </c>
      <c r="I653" s="129"/>
      <c r="J653" s="130" t="s">
        <v>27</v>
      </c>
      <c r="L653" s="75">
        <f>G653*(1-'FORM-I'!$V$22/100)</f>
        <v>21.930900000000001</v>
      </c>
      <c r="N653" s="11" t="e">
        <f>VLOOKUP(B653,$B$11:B652,1,FALSE)</f>
        <v>#N/A</v>
      </c>
    </row>
    <row r="654" spans="2:14">
      <c r="B654" s="122">
        <v>9256896</v>
      </c>
      <c r="C654" s="123" t="s">
        <v>747</v>
      </c>
      <c r="D654" s="124">
        <v>1</v>
      </c>
      <c r="E654" s="125"/>
      <c r="F654" s="126"/>
      <c r="G654" s="127">
        <v>22.3339</v>
      </c>
      <c r="H654" s="128" t="str">
        <f t="shared" si="36"/>
        <v>CZK</v>
      </c>
      <c r="I654" s="129"/>
      <c r="J654" s="130" t="s">
        <v>27</v>
      </c>
      <c r="L654" s="75">
        <f>G654*(1-'FORM-I'!$V$22/100)</f>
        <v>22.3339</v>
      </c>
      <c r="N654" s="11" t="e">
        <f>VLOOKUP(B654,$B$11:B653,1,FALSE)</f>
        <v>#N/A</v>
      </c>
    </row>
    <row r="655" spans="2:14">
      <c r="B655" s="122">
        <v>9256854</v>
      </c>
      <c r="C655" s="123" t="s">
        <v>748</v>
      </c>
      <c r="D655" s="124">
        <v>20</v>
      </c>
      <c r="E655" s="125"/>
      <c r="F655" s="126"/>
      <c r="G655" s="127">
        <v>9.2933000000000003</v>
      </c>
      <c r="H655" s="128" t="str">
        <f t="shared" si="36"/>
        <v>CZK</v>
      </c>
      <c r="I655" s="129"/>
      <c r="J655" s="130" t="s">
        <v>27</v>
      </c>
      <c r="L655" s="75">
        <f>G655*(1-'FORM-I'!$V$22/100)</f>
        <v>9.2933000000000003</v>
      </c>
      <c r="N655" s="11" t="e">
        <f>VLOOKUP(B655,$B$11:B654,1,FALSE)</f>
        <v>#N/A</v>
      </c>
    </row>
    <row r="656" spans="2:14">
      <c r="B656" s="122">
        <v>9256855</v>
      </c>
      <c r="C656" s="123" t="s">
        <v>749</v>
      </c>
      <c r="D656" s="124">
        <v>20</v>
      </c>
      <c r="E656" s="125"/>
      <c r="F656" s="126"/>
      <c r="G656" s="127">
        <v>9.2933000000000003</v>
      </c>
      <c r="H656" s="128" t="str">
        <f t="shared" si="36"/>
        <v>CZK</v>
      </c>
      <c r="I656" s="129"/>
      <c r="J656" s="130" t="s">
        <v>27</v>
      </c>
      <c r="L656" s="75">
        <f>G656*(1-'FORM-I'!$V$22/100)</f>
        <v>9.2933000000000003</v>
      </c>
      <c r="N656" s="11" t="e">
        <f>VLOOKUP(B656,$B$11:B655,1,FALSE)</f>
        <v>#N/A</v>
      </c>
    </row>
    <row r="657" spans="2:14">
      <c r="B657" s="122">
        <v>9256856</v>
      </c>
      <c r="C657" s="123" t="s">
        <v>750</v>
      </c>
      <c r="D657" s="124">
        <v>20</v>
      </c>
      <c r="E657" s="125"/>
      <c r="F657" s="126"/>
      <c r="G657" s="127">
        <v>9.3132999999999999</v>
      </c>
      <c r="H657" s="128" t="str">
        <f t="shared" si="36"/>
        <v>CZK</v>
      </c>
      <c r="I657" s="129"/>
      <c r="J657" s="130" t="s">
        <v>27</v>
      </c>
      <c r="L657" s="75">
        <f>G657*(1-'FORM-I'!$V$22/100)</f>
        <v>9.3132999999999999</v>
      </c>
      <c r="N657" s="11" t="e">
        <f>VLOOKUP(B657,$B$11:B656,1,FALSE)</f>
        <v>#N/A</v>
      </c>
    </row>
    <row r="658" spans="2:14">
      <c r="B658" s="122">
        <v>9256857</v>
      </c>
      <c r="C658" s="123" t="s">
        <v>751</v>
      </c>
      <c r="D658" s="124">
        <v>20</v>
      </c>
      <c r="E658" s="125"/>
      <c r="F658" s="126"/>
      <c r="G658" s="127">
        <v>9.3132999999999999</v>
      </c>
      <c r="H658" s="128" t="str">
        <f t="shared" si="36"/>
        <v>CZK</v>
      </c>
      <c r="I658" s="129"/>
      <c r="J658" s="130" t="s">
        <v>27</v>
      </c>
      <c r="L658" s="75">
        <f>G658*(1-'FORM-I'!$V$22/100)</f>
        <v>9.3132999999999999</v>
      </c>
      <c r="N658" s="11" t="e">
        <f>VLOOKUP(B658,$B$11:B657,1,FALSE)</f>
        <v>#N/A</v>
      </c>
    </row>
    <row r="659" spans="2:14">
      <c r="B659" s="122">
        <v>9256860</v>
      </c>
      <c r="C659" s="123" t="s">
        <v>752</v>
      </c>
      <c r="D659" s="124">
        <v>20</v>
      </c>
      <c r="E659" s="125"/>
      <c r="F659" s="126"/>
      <c r="G659" s="127">
        <v>9.5147999999999993</v>
      </c>
      <c r="H659" s="128" t="str">
        <f t="shared" si="36"/>
        <v>CZK</v>
      </c>
      <c r="I659" s="129"/>
      <c r="J659" s="130" t="s">
        <v>27</v>
      </c>
      <c r="L659" s="75">
        <f>G659*(1-'FORM-I'!$V$22/100)</f>
        <v>9.5147999999999993</v>
      </c>
      <c r="N659" s="11" t="e">
        <f>VLOOKUP(B659,$B$11:B658,1,FALSE)</f>
        <v>#N/A</v>
      </c>
    </row>
    <row r="660" spans="2:14">
      <c r="B660" s="122">
        <v>9256861</v>
      </c>
      <c r="C660" s="123" t="s">
        <v>753</v>
      </c>
      <c r="D660" s="124">
        <v>20</v>
      </c>
      <c r="E660" s="125"/>
      <c r="F660" s="126"/>
      <c r="G660" s="127">
        <v>9.5147999999999993</v>
      </c>
      <c r="H660" s="128" t="str">
        <f t="shared" si="36"/>
        <v>CZK</v>
      </c>
      <c r="I660" s="129"/>
      <c r="J660" s="130" t="s">
        <v>27</v>
      </c>
      <c r="L660" s="75">
        <f>G660*(1-'FORM-I'!$V$22/100)</f>
        <v>9.5147999999999993</v>
      </c>
      <c r="N660" s="11" t="e">
        <f>VLOOKUP(B660,$B$11:B659,1,FALSE)</f>
        <v>#N/A</v>
      </c>
    </row>
    <row r="661" spans="2:14">
      <c r="B661" s="122">
        <v>9256864</v>
      </c>
      <c r="C661" s="123" t="s">
        <v>754</v>
      </c>
      <c r="D661" s="124">
        <v>20</v>
      </c>
      <c r="E661" s="125"/>
      <c r="F661" s="126"/>
      <c r="G661" s="127">
        <v>9.7163000000000004</v>
      </c>
      <c r="H661" s="128" t="str">
        <f t="shared" si="36"/>
        <v>CZK</v>
      </c>
      <c r="I661" s="129"/>
      <c r="J661" s="130" t="s">
        <v>27</v>
      </c>
      <c r="L661" s="75">
        <f>G661*(1-'FORM-I'!$V$22/100)</f>
        <v>9.7163000000000004</v>
      </c>
      <c r="N661" s="11" t="e">
        <f>VLOOKUP(B661,$B$11:B660,1,FALSE)</f>
        <v>#N/A</v>
      </c>
    </row>
    <row r="662" spans="2:14">
      <c r="B662" s="122">
        <v>9256865</v>
      </c>
      <c r="C662" s="123" t="s">
        <v>755</v>
      </c>
      <c r="D662" s="124">
        <v>20</v>
      </c>
      <c r="E662" s="125"/>
      <c r="F662" s="126"/>
      <c r="G662" s="127">
        <v>9.7163000000000004</v>
      </c>
      <c r="H662" s="128" t="str">
        <f t="shared" si="36"/>
        <v>CZK</v>
      </c>
      <c r="I662" s="129"/>
      <c r="J662" s="130" t="s">
        <v>27</v>
      </c>
      <c r="L662" s="75">
        <f>G662*(1-'FORM-I'!$V$22/100)</f>
        <v>9.7163000000000004</v>
      </c>
      <c r="N662" s="11" t="e">
        <f>VLOOKUP(B662,$B$11:B661,1,FALSE)</f>
        <v>#N/A</v>
      </c>
    </row>
    <row r="663" spans="2:14">
      <c r="B663" s="122">
        <v>9256868</v>
      </c>
      <c r="C663" s="123" t="s">
        <v>756</v>
      </c>
      <c r="D663" s="124">
        <v>20</v>
      </c>
      <c r="E663" s="125"/>
      <c r="F663" s="126"/>
      <c r="G663" s="127">
        <v>9.9176000000000002</v>
      </c>
      <c r="H663" s="128" t="str">
        <f t="shared" si="36"/>
        <v>CZK</v>
      </c>
      <c r="I663" s="129"/>
      <c r="J663" s="130" t="s">
        <v>27</v>
      </c>
      <c r="L663" s="75">
        <f>G663*(1-'FORM-I'!$V$22/100)</f>
        <v>9.9176000000000002</v>
      </c>
      <c r="N663" s="11" t="e">
        <f>VLOOKUP(B663,$B$11:B662,1,FALSE)</f>
        <v>#N/A</v>
      </c>
    </row>
    <row r="664" spans="2:14">
      <c r="B664" s="122">
        <v>9256869</v>
      </c>
      <c r="C664" s="123" t="s">
        <v>757</v>
      </c>
      <c r="D664" s="124">
        <v>20</v>
      </c>
      <c r="E664" s="125"/>
      <c r="F664" s="126"/>
      <c r="G664" s="127">
        <v>9.9176000000000002</v>
      </c>
      <c r="H664" s="128" t="str">
        <f t="shared" si="36"/>
        <v>CZK</v>
      </c>
      <c r="I664" s="129"/>
      <c r="J664" s="130" t="s">
        <v>27</v>
      </c>
      <c r="L664" s="75">
        <f>G664*(1-'FORM-I'!$V$22/100)</f>
        <v>9.9176000000000002</v>
      </c>
      <c r="N664" s="11" t="e">
        <f>VLOOKUP(B664,$B$11:B663,1,FALSE)</f>
        <v>#N/A</v>
      </c>
    </row>
    <row r="665" spans="2:14">
      <c r="B665" s="122">
        <v>9256872</v>
      </c>
      <c r="C665" s="123" t="s">
        <v>758</v>
      </c>
      <c r="D665" s="124">
        <v>20</v>
      </c>
      <c r="E665" s="125"/>
      <c r="F665" s="126"/>
      <c r="G665" s="127">
        <v>10.119199999999999</v>
      </c>
      <c r="H665" s="128" t="str">
        <f t="shared" si="36"/>
        <v>CZK</v>
      </c>
      <c r="I665" s="129"/>
      <c r="J665" s="130" t="s">
        <v>27</v>
      </c>
      <c r="L665" s="75">
        <f>G665*(1-'FORM-I'!$V$22/100)</f>
        <v>10.119199999999999</v>
      </c>
      <c r="N665" s="11" t="e">
        <f>VLOOKUP(B665,$B$11:B664,1,FALSE)</f>
        <v>#N/A</v>
      </c>
    </row>
    <row r="666" spans="2:14">
      <c r="B666" s="122">
        <v>9256873</v>
      </c>
      <c r="C666" s="123" t="s">
        <v>759</v>
      </c>
      <c r="D666" s="124">
        <v>20</v>
      </c>
      <c r="E666" s="125"/>
      <c r="F666" s="126"/>
      <c r="G666" s="127">
        <v>10.119199999999999</v>
      </c>
      <c r="H666" s="128" t="str">
        <f t="shared" si="36"/>
        <v>CZK</v>
      </c>
      <c r="I666" s="129"/>
      <c r="J666" s="130" t="s">
        <v>27</v>
      </c>
      <c r="L666" s="75">
        <f>G666*(1-'FORM-I'!$V$22/100)</f>
        <v>10.119199999999999</v>
      </c>
      <c r="N666" s="11" t="e">
        <f>VLOOKUP(B666,$B$11:B665,1,FALSE)</f>
        <v>#N/A</v>
      </c>
    </row>
    <row r="667" spans="2:14">
      <c r="B667" s="122">
        <v>9256876</v>
      </c>
      <c r="C667" s="123" t="s">
        <v>760</v>
      </c>
      <c r="D667" s="124">
        <v>20</v>
      </c>
      <c r="E667" s="125"/>
      <c r="F667" s="126"/>
      <c r="G667" s="127">
        <v>10.3207</v>
      </c>
      <c r="H667" s="128" t="str">
        <f t="shared" si="36"/>
        <v>CZK</v>
      </c>
      <c r="I667" s="129"/>
      <c r="J667" s="130" t="s">
        <v>27</v>
      </c>
      <c r="L667" s="75">
        <f>G667*(1-'FORM-I'!$V$22/100)</f>
        <v>10.3207</v>
      </c>
      <c r="N667" s="11" t="e">
        <f>VLOOKUP(B667,$B$11:B666,1,FALSE)</f>
        <v>#N/A</v>
      </c>
    </row>
    <row r="668" spans="2:14">
      <c r="B668" s="122">
        <v>9256877</v>
      </c>
      <c r="C668" s="123" t="s">
        <v>761</v>
      </c>
      <c r="D668" s="124">
        <v>20</v>
      </c>
      <c r="E668" s="125"/>
      <c r="F668" s="126"/>
      <c r="G668" s="127">
        <v>10.3207</v>
      </c>
      <c r="H668" s="128" t="str">
        <f t="shared" si="36"/>
        <v>CZK</v>
      </c>
      <c r="I668" s="129"/>
      <c r="J668" s="130" t="s">
        <v>27</v>
      </c>
      <c r="L668" s="75">
        <f>G668*(1-'FORM-I'!$V$22/100)</f>
        <v>10.3207</v>
      </c>
      <c r="N668" s="11" t="e">
        <f>VLOOKUP(B668,$B$11:B667,1,FALSE)</f>
        <v>#N/A</v>
      </c>
    </row>
    <row r="669" spans="2:14">
      <c r="B669" s="122">
        <v>9256880</v>
      </c>
      <c r="C669" s="123" t="s">
        <v>762</v>
      </c>
      <c r="D669" s="124">
        <v>20</v>
      </c>
      <c r="E669" s="125"/>
      <c r="F669" s="126"/>
      <c r="G669" s="127">
        <v>10.5221</v>
      </c>
      <c r="H669" s="128" t="str">
        <f t="shared" si="36"/>
        <v>CZK</v>
      </c>
      <c r="I669" s="129"/>
      <c r="J669" s="130" t="s">
        <v>27</v>
      </c>
      <c r="L669" s="75">
        <f>G669*(1-'FORM-I'!$V$22/100)</f>
        <v>10.5221</v>
      </c>
      <c r="N669" s="11" t="e">
        <f>VLOOKUP(B669,$B$11:B668,1,FALSE)</f>
        <v>#N/A</v>
      </c>
    </row>
    <row r="670" spans="2:14">
      <c r="B670" s="165">
        <v>9256881</v>
      </c>
      <c r="C670" s="166" t="s">
        <v>763</v>
      </c>
      <c r="D670" s="167">
        <v>20</v>
      </c>
      <c r="E670" s="168"/>
      <c r="F670" s="169"/>
      <c r="G670" s="170">
        <v>10.5221</v>
      </c>
      <c r="H670" s="171" t="str">
        <f t="shared" si="36"/>
        <v>CZK</v>
      </c>
      <c r="I670" s="172"/>
      <c r="J670" s="173" t="s">
        <v>27</v>
      </c>
      <c r="L670" s="75">
        <f>G670*(1-'FORM-I'!$V$22/100)</f>
        <v>10.5221</v>
      </c>
      <c r="N670" s="11" t="e">
        <f>VLOOKUP(B670,$B$11:B669,1,FALSE)</f>
        <v>#N/A</v>
      </c>
    </row>
    <row r="671" spans="2:14">
      <c r="B671" s="165"/>
      <c r="C671" s="166"/>
      <c r="D671" s="167"/>
      <c r="E671" s="168"/>
      <c r="F671" s="169"/>
      <c r="G671" s="170"/>
      <c r="H671" s="171"/>
      <c r="I671" s="172"/>
      <c r="J671" s="173" t="s">
        <v>27</v>
      </c>
      <c r="L671" s="75">
        <f>G671*(1-'FORM-I'!$V$22/100)</f>
        <v>0</v>
      </c>
      <c r="N671" s="11" t="e">
        <f>VLOOKUP(B671,$B$11:B670,1,FALSE)</f>
        <v>#N/A</v>
      </c>
    </row>
    <row r="672" spans="2:14">
      <c r="B672" s="156">
        <v>9257894</v>
      </c>
      <c r="C672" s="157" t="s">
        <v>764</v>
      </c>
      <c r="D672" s="158">
        <v>1</v>
      </c>
      <c r="E672" s="159"/>
      <c r="F672" s="160"/>
      <c r="G672" s="161">
        <v>28.502199999999998</v>
      </c>
      <c r="H672" s="162" t="str">
        <f t="shared" ref="H672:H674" si="37">IF(G672="","",$H$10)</f>
        <v>CZK</v>
      </c>
      <c r="I672" s="163"/>
      <c r="J672" s="164" t="s">
        <v>27</v>
      </c>
      <c r="L672" s="75">
        <f>G672*(1-'FORM-I'!$V$22/100)</f>
        <v>28.502199999999998</v>
      </c>
      <c r="N672" s="11" t="e">
        <f>VLOOKUP(B672,$B$11:B671,1,FALSE)</f>
        <v>#N/A</v>
      </c>
    </row>
    <row r="673" spans="2:14">
      <c r="B673" s="122">
        <v>9257895</v>
      </c>
      <c r="C673" s="123" t="s">
        <v>765</v>
      </c>
      <c r="D673" s="124">
        <v>1</v>
      </c>
      <c r="E673" s="125"/>
      <c r="F673" s="126"/>
      <c r="G673" s="127">
        <v>28.502199999999998</v>
      </c>
      <c r="H673" s="128" t="str">
        <f t="shared" si="37"/>
        <v>CZK</v>
      </c>
      <c r="I673" s="129"/>
      <c r="J673" s="130" t="s">
        <v>27</v>
      </c>
      <c r="L673" s="75">
        <f>G673*(1-'FORM-I'!$V$22/100)</f>
        <v>28.502199999999998</v>
      </c>
      <c r="N673" s="11" t="e">
        <f>VLOOKUP(B673,$B$11:B672,1,FALSE)</f>
        <v>#N/A</v>
      </c>
    </row>
    <row r="674" spans="2:14">
      <c r="B674" s="165">
        <v>9257896</v>
      </c>
      <c r="C674" s="166" t="s">
        <v>766</v>
      </c>
      <c r="D674" s="167">
        <v>1</v>
      </c>
      <c r="E674" s="168"/>
      <c r="F674" s="169"/>
      <c r="G674" s="170">
        <v>28.502199999999998</v>
      </c>
      <c r="H674" s="171" t="str">
        <f t="shared" si="37"/>
        <v>CZK</v>
      </c>
      <c r="I674" s="172"/>
      <c r="J674" s="173" t="s">
        <v>27</v>
      </c>
      <c r="L674" s="75">
        <f>G674*(1-'FORM-I'!$V$22/100)</f>
        <v>28.502199999999998</v>
      </c>
      <c r="N674" s="11" t="e">
        <f>VLOOKUP(B674,$B$11:B673,1,FALSE)</f>
        <v>#N/A</v>
      </c>
    </row>
    <row r="675" spans="2:14">
      <c r="B675" s="165"/>
      <c r="C675" s="166"/>
      <c r="D675" s="167"/>
      <c r="E675" s="168"/>
      <c r="F675" s="169"/>
      <c r="G675" s="170"/>
      <c r="H675" s="171"/>
      <c r="I675" s="172"/>
      <c r="J675" s="173" t="s">
        <v>27</v>
      </c>
      <c r="L675" s="75">
        <f>G675*(1-'FORM-I'!$V$22/100)</f>
        <v>0</v>
      </c>
      <c r="N675" s="11" t="e">
        <f>VLOOKUP(B675,$B$11:B674,1,FALSE)</f>
        <v>#N/A</v>
      </c>
    </row>
    <row r="676" spans="2:14">
      <c r="B676" s="156">
        <v>9256928</v>
      </c>
      <c r="C676" s="157" t="s">
        <v>767</v>
      </c>
      <c r="D676" s="158">
        <v>1</v>
      </c>
      <c r="E676" s="159"/>
      <c r="F676" s="160"/>
      <c r="G676" s="161">
        <v>22.294699999999999</v>
      </c>
      <c r="H676" s="162" t="str">
        <f t="shared" ref="H676:H677" si="38">IF(G676="","",$H$10)</f>
        <v>CZK</v>
      </c>
      <c r="I676" s="163"/>
      <c r="J676" s="164" t="s">
        <v>27</v>
      </c>
      <c r="L676" s="75">
        <f>G676*(1-'FORM-I'!$V$22/100)</f>
        <v>22.294699999999999</v>
      </c>
      <c r="N676" s="11" t="e">
        <f>VLOOKUP(B676,$B$11:B675,1,FALSE)</f>
        <v>#N/A</v>
      </c>
    </row>
    <row r="677" spans="2:14">
      <c r="B677" s="122">
        <v>9256929</v>
      </c>
      <c r="C677" s="123" t="s">
        <v>768</v>
      </c>
      <c r="D677" s="124">
        <v>1</v>
      </c>
      <c r="E677" s="125"/>
      <c r="F677" s="126"/>
      <c r="G677" s="127">
        <v>22.3339</v>
      </c>
      <c r="H677" s="128" t="str">
        <f t="shared" si="38"/>
        <v>CZK</v>
      </c>
      <c r="I677" s="129"/>
      <c r="J677" s="130" t="s">
        <v>27</v>
      </c>
      <c r="L677" s="75">
        <f>G677*(1-'FORM-I'!$V$22/100)</f>
        <v>22.3339</v>
      </c>
      <c r="N677" s="11" t="e">
        <f>VLOOKUP(B677,$B$11:B676,1,FALSE)</f>
        <v>#N/A</v>
      </c>
    </row>
    <row r="678" spans="2:14">
      <c r="B678" s="122">
        <v>9256931</v>
      </c>
      <c r="C678" s="123" t="s">
        <v>769</v>
      </c>
      <c r="D678" s="124">
        <v>1</v>
      </c>
      <c r="E678" s="125"/>
      <c r="F678" s="126"/>
      <c r="G678" s="127">
        <v>22.736899999999999</v>
      </c>
      <c r="H678" s="128" t="str">
        <f>IF(G678="","",$H$10)</f>
        <v>CZK</v>
      </c>
      <c r="I678" s="129"/>
      <c r="J678" s="130" t="s">
        <v>27</v>
      </c>
      <c r="L678" s="75">
        <f>G678*(1-'FORM-I'!$V$22/100)</f>
        <v>22.736899999999999</v>
      </c>
      <c r="N678" s="11" t="e">
        <f>VLOOKUP(B678,$B$11:B677,1,FALSE)</f>
        <v>#N/A</v>
      </c>
    </row>
    <row r="679" spans="2:14">
      <c r="B679" s="122">
        <v>9256933</v>
      </c>
      <c r="C679" s="123" t="s">
        <v>770</v>
      </c>
      <c r="D679" s="124">
        <v>1</v>
      </c>
      <c r="E679" s="125"/>
      <c r="F679" s="126"/>
      <c r="G679" s="127">
        <v>23.139900000000001</v>
      </c>
      <c r="H679" s="128" t="str">
        <f t="shared" ref="H679:H699" si="39">IF(G679="","",$H$10)</f>
        <v>CZK</v>
      </c>
      <c r="I679" s="129"/>
      <c r="J679" s="130" t="s">
        <v>27</v>
      </c>
      <c r="L679" s="75">
        <f>G679*(1-'FORM-I'!$V$22/100)</f>
        <v>23.139900000000001</v>
      </c>
      <c r="N679" s="11" t="e">
        <f>VLOOKUP(B679,$B$11:B678,1,FALSE)</f>
        <v>#N/A</v>
      </c>
    </row>
    <row r="680" spans="2:14">
      <c r="B680" s="122">
        <v>9256935</v>
      </c>
      <c r="C680" s="123" t="s">
        <v>771</v>
      </c>
      <c r="D680" s="124">
        <v>1</v>
      </c>
      <c r="E680" s="125"/>
      <c r="F680" s="126"/>
      <c r="G680" s="127">
        <v>23.542999999999999</v>
      </c>
      <c r="H680" s="128" t="str">
        <f t="shared" si="39"/>
        <v>CZK</v>
      </c>
      <c r="I680" s="129"/>
      <c r="J680" s="130" t="s">
        <v>27</v>
      </c>
      <c r="L680" s="75">
        <f>G680*(1-'FORM-I'!$V$22/100)</f>
        <v>23.542999999999999</v>
      </c>
      <c r="N680" s="11" t="e">
        <f>VLOOKUP(B680,$B$11:B679,1,FALSE)</f>
        <v>#N/A</v>
      </c>
    </row>
    <row r="681" spans="2:14">
      <c r="B681" s="122">
        <v>9256937</v>
      </c>
      <c r="C681" s="123" t="s">
        <v>772</v>
      </c>
      <c r="D681" s="124">
        <v>1</v>
      </c>
      <c r="E681" s="125"/>
      <c r="F681" s="126"/>
      <c r="G681" s="127">
        <v>23.945900000000002</v>
      </c>
      <c r="H681" s="128" t="str">
        <f t="shared" si="39"/>
        <v>CZK</v>
      </c>
      <c r="I681" s="129"/>
      <c r="J681" s="130" t="s">
        <v>27</v>
      </c>
      <c r="L681" s="75">
        <f>G681*(1-'FORM-I'!$V$22/100)</f>
        <v>23.945900000000002</v>
      </c>
      <c r="N681" s="11" t="e">
        <f>VLOOKUP(B681,$B$11:B680,1,FALSE)</f>
        <v>#N/A</v>
      </c>
    </row>
    <row r="682" spans="2:14">
      <c r="B682" s="122">
        <v>9256939</v>
      </c>
      <c r="C682" s="123" t="s">
        <v>773</v>
      </c>
      <c r="D682" s="124">
        <v>1</v>
      </c>
      <c r="E682" s="125"/>
      <c r="F682" s="126"/>
      <c r="G682" s="127">
        <v>24.3489</v>
      </c>
      <c r="H682" s="128" t="str">
        <f t="shared" si="39"/>
        <v>CZK</v>
      </c>
      <c r="I682" s="129"/>
      <c r="J682" s="130" t="s">
        <v>27</v>
      </c>
      <c r="L682" s="75">
        <f>G682*(1-'FORM-I'!$V$22/100)</f>
        <v>24.3489</v>
      </c>
      <c r="N682" s="11" t="e">
        <f>VLOOKUP(B682,$B$11:B681,1,FALSE)</f>
        <v>#N/A</v>
      </c>
    </row>
    <row r="683" spans="2:14">
      <c r="B683" s="122">
        <v>9256941</v>
      </c>
      <c r="C683" s="123" t="s">
        <v>774</v>
      </c>
      <c r="D683" s="124">
        <v>1</v>
      </c>
      <c r="E683" s="125"/>
      <c r="F683" s="126"/>
      <c r="G683" s="127">
        <v>24.751799999999999</v>
      </c>
      <c r="H683" s="128" t="str">
        <f t="shared" si="39"/>
        <v>CZK</v>
      </c>
      <c r="I683" s="129"/>
      <c r="J683" s="130" t="s">
        <v>27</v>
      </c>
      <c r="L683" s="75">
        <f>G683*(1-'FORM-I'!$V$22/100)</f>
        <v>24.751799999999999</v>
      </c>
      <c r="N683" s="11" t="e">
        <f>VLOOKUP(B683,$B$11:B682,1,FALSE)</f>
        <v>#N/A</v>
      </c>
    </row>
    <row r="684" spans="2:14">
      <c r="B684" s="122">
        <v>9256899</v>
      </c>
      <c r="C684" s="123" t="s">
        <v>775</v>
      </c>
      <c r="D684" s="124">
        <v>20</v>
      </c>
      <c r="E684" s="125"/>
      <c r="F684" s="126"/>
      <c r="G684" s="127">
        <v>10.5023</v>
      </c>
      <c r="H684" s="128" t="str">
        <f t="shared" si="39"/>
        <v>CZK</v>
      </c>
      <c r="I684" s="129"/>
      <c r="J684" s="130" t="s">
        <v>27</v>
      </c>
      <c r="L684" s="75">
        <f>G684*(1-'FORM-I'!$V$22/100)</f>
        <v>10.5023</v>
      </c>
      <c r="N684" s="11" t="e">
        <f>VLOOKUP(B684,$B$11:B683,1,FALSE)</f>
        <v>#N/A</v>
      </c>
    </row>
    <row r="685" spans="2:14">
      <c r="B685" s="122">
        <v>9256900</v>
      </c>
      <c r="C685" s="123" t="s">
        <v>776</v>
      </c>
      <c r="D685" s="124">
        <v>20</v>
      </c>
      <c r="E685" s="125"/>
      <c r="F685" s="126"/>
      <c r="G685" s="127">
        <v>10.5023</v>
      </c>
      <c r="H685" s="128" t="str">
        <f t="shared" si="39"/>
        <v>CZK</v>
      </c>
      <c r="I685" s="129"/>
      <c r="J685" s="130" t="s">
        <v>27</v>
      </c>
      <c r="L685" s="75">
        <f>G685*(1-'FORM-I'!$V$22/100)</f>
        <v>10.5023</v>
      </c>
      <c r="N685" s="11" t="e">
        <f>VLOOKUP(B685,$B$11:B684,1,FALSE)</f>
        <v>#N/A</v>
      </c>
    </row>
    <row r="686" spans="2:14">
      <c r="B686" s="122">
        <v>9256901</v>
      </c>
      <c r="C686" s="123" t="s">
        <v>777</v>
      </c>
      <c r="D686" s="124">
        <v>20</v>
      </c>
      <c r="E686" s="125"/>
      <c r="F686" s="126"/>
      <c r="G686" s="127">
        <v>10.5221</v>
      </c>
      <c r="H686" s="128" t="str">
        <f t="shared" si="39"/>
        <v>CZK</v>
      </c>
      <c r="I686" s="129"/>
      <c r="J686" s="130" t="s">
        <v>27</v>
      </c>
      <c r="L686" s="75">
        <f>G686*(1-'FORM-I'!$V$22/100)</f>
        <v>10.5221</v>
      </c>
      <c r="N686" s="11" t="e">
        <f>VLOOKUP(B686,$B$11:B685,1,FALSE)</f>
        <v>#N/A</v>
      </c>
    </row>
    <row r="687" spans="2:14">
      <c r="B687" s="122">
        <v>9256902</v>
      </c>
      <c r="C687" s="123" t="s">
        <v>778</v>
      </c>
      <c r="D687" s="124">
        <v>20</v>
      </c>
      <c r="E687" s="125"/>
      <c r="F687" s="126"/>
      <c r="G687" s="127">
        <v>10.5221</v>
      </c>
      <c r="H687" s="128" t="str">
        <f t="shared" si="39"/>
        <v>CZK</v>
      </c>
      <c r="I687" s="129"/>
      <c r="J687" s="130" t="s">
        <v>27</v>
      </c>
      <c r="L687" s="75">
        <f>G687*(1-'FORM-I'!$V$22/100)</f>
        <v>10.5221</v>
      </c>
      <c r="N687" s="11" t="e">
        <f>VLOOKUP(B687,$B$11:B686,1,FALSE)</f>
        <v>#N/A</v>
      </c>
    </row>
    <row r="688" spans="2:14">
      <c r="B688" s="122">
        <v>9256905</v>
      </c>
      <c r="C688" s="123" t="s">
        <v>779</v>
      </c>
      <c r="D688" s="124">
        <v>20</v>
      </c>
      <c r="E688" s="125"/>
      <c r="F688" s="126"/>
      <c r="G688" s="127">
        <v>10.723699999999999</v>
      </c>
      <c r="H688" s="128" t="str">
        <f t="shared" si="39"/>
        <v>CZK</v>
      </c>
      <c r="I688" s="129"/>
      <c r="J688" s="130" t="s">
        <v>27</v>
      </c>
      <c r="L688" s="75">
        <f>G688*(1-'FORM-I'!$V$22/100)</f>
        <v>10.723699999999999</v>
      </c>
      <c r="N688" s="11" t="e">
        <f>VLOOKUP(B688,$B$11:B687,1,FALSE)</f>
        <v>#N/A</v>
      </c>
    </row>
    <row r="689" spans="1:14">
      <c r="B689" s="122">
        <v>9256906</v>
      </c>
      <c r="C689" s="123" t="s">
        <v>780</v>
      </c>
      <c r="D689" s="124">
        <v>20</v>
      </c>
      <c r="E689" s="125"/>
      <c r="F689" s="126"/>
      <c r="G689" s="127">
        <v>10.723699999999999</v>
      </c>
      <c r="H689" s="128" t="str">
        <f t="shared" si="39"/>
        <v>CZK</v>
      </c>
      <c r="I689" s="129"/>
      <c r="J689" s="130" t="s">
        <v>27</v>
      </c>
      <c r="L689" s="75">
        <f>G689*(1-'FORM-I'!$V$22/100)</f>
        <v>10.723699999999999</v>
      </c>
      <c r="N689" s="11" t="e">
        <f>VLOOKUP(B689,$B$11:B688,1,FALSE)</f>
        <v>#N/A</v>
      </c>
    </row>
    <row r="690" spans="1:14">
      <c r="B690" s="122">
        <v>9256909</v>
      </c>
      <c r="C690" s="123" t="s">
        <v>781</v>
      </c>
      <c r="D690" s="124">
        <v>20</v>
      </c>
      <c r="E690" s="125"/>
      <c r="F690" s="126"/>
      <c r="G690" s="127">
        <v>10.9251</v>
      </c>
      <c r="H690" s="128" t="str">
        <f t="shared" si="39"/>
        <v>CZK</v>
      </c>
      <c r="I690" s="129"/>
      <c r="J690" s="130" t="s">
        <v>27</v>
      </c>
      <c r="L690" s="75">
        <f>G690*(1-'FORM-I'!$V$22/100)</f>
        <v>10.9251</v>
      </c>
      <c r="N690" s="11" t="e">
        <f>VLOOKUP(B690,$B$11:B689,1,FALSE)</f>
        <v>#N/A</v>
      </c>
    </row>
    <row r="691" spans="1:14">
      <c r="B691" s="122">
        <v>9256910</v>
      </c>
      <c r="C691" s="123" t="s">
        <v>782</v>
      </c>
      <c r="D691" s="124">
        <v>20</v>
      </c>
      <c r="E691" s="125"/>
      <c r="F691" s="126"/>
      <c r="G691" s="127">
        <v>10.9251</v>
      </c>
      <c r="H691" s="128" t="str">
        <f t="shared" si="39"/>
        <v>CZK</v>
      </c>
      <c r="I691" s="129"/>
      <c r="J691" s="130" t="s">
        <v>27</v>
      </c>
      <c r="L691" s="75">
        <f>G691*(1-'FORM-I'!$V$22/100)</f>
        <v>10.9251</v>
      </c>
      <c r="N691" s="11" t="e">
        <f>VLOOKUP(B691,$B$11:B690,1,FALSE)</f>
        <v>#N/A</v>
      </c>
    </row>
    <row r="692" spans="1:14">
      <c r="B692" s="122">
        <v>9256913</v>
      </c>
      <c r="C692" s="123" t="s">
        <v>783</v>
      </c>
      <c r="D692" s="124">
        <v>20</v>
      </c>
      <c r="E692" s="125"/>
      <c r="F692" s="126"/>
      <c r="G692" s="127">
        <v>11.1265</v>
      </c>
      <c r="H692" s="128" t="str">
        <f t="shared" si="39"/>
        <v>CZK</v>
      </c>
      <c r="I692" s="129"/>
      <c r="J692" s="130" t="s">
        <v>27</v>
      </c>
      <c r="L692" s="75">
        <f>G692*(1-'FORM-I'!$V$22/100)</f>
        <v>11.1265</v>
      </c>
      <c r="N692" s="11" t="e">
        <f>VLOOKUP(B692,$B$11:B691,1,FALSE)</f>
        <v>#N/A</v>
      </c>
    </row>
    <row r="693" spans="1:14">
      <c r="B693" s="122">
        <v>9256914</v>
      </c>
      <c r="C693" s="123" t="s">
        <v>784</v>
      </c>
      <c r="D693" s="124">
        <v>20</v>
      </c>
      <c r="E693" s="125"/>
      <c r="F693" s="126"/>
      <c r="G693" s="127">
        <v>11.1265</v>
      </c>
      <c r="H693" s="128" t="str">
        <f t="shared" si="39"/>
        <v>CZK</v>
      </c>
      <c r="I693" s="129"/>
      <c r="J693" s="130" t="s">
        <v>27</v>
      </c>
      <c r="L693" s="75">
        <f>G693*(1-'FORM-I'!$V$22/100)</f>
        <v>11.1265</v>
      </c>
      <c r="N693" s="11" t="e">
        <f>VLOOKUP(B693,$B$11:B692,1,FALSE)</f>
        <v>#N/A</v>
      </c>
    </row>
    <row r="694" spans="1:14">
      <c r="B694" s="122">
        <v>9256917</v>
      </c>
      <c r="C694" s="123" t="s">
        <v>785</v>
      </c>
      <c r="D694" s="124">
        <v>20</v>
      </c>
      <c r="E694" s="125"/>
      <c r="F694" s="126"/>
      <c r="G694" s="127">
        <v>11.328099999999999</v>
      </c>
      <c r="H694" s="128" t="str">
        <f t="shared" si="39"/>
        <v>CZK</v>
      </c>
      <c r="I694" s="129"/>
      <c r="J694" s="130" t="s">
        <v>27</v>
      </c>
      <c r="L694" s="75">
        <f>G694*(1-'FORM-I'!$V$22/100)</f>
        <v>11.328099999999999</v>
      </c>
      <c r="N694" s="11" t="e">
        <f>VLOOKUP(B694,$B$11:B693,1,FALSE)</f>
        <v>#N/A</v>
      </c>
    </row>
    <row r="695" spans="1:14">
      <c r="B695" s="122">
        <v>9256918</v>
      </c>
      <c r="C695" s="123" t="s">
        <v>786</v>
      </c>
      <c r="D695" s="124">
        <v>20</v>
      </c>
      <c r="E695" s="125"/>
      <c r="F695" s="126"/>
      <c r="G695" s="127">
        <v>11.328099999999999</v>
      </c>
      <c r="H695" s="128" t="str">
        <f t="shared" si="39"/>
        <v>CZK</v>
      </c>
      <c r="I695" s="129"/>
      <c r="J695" s="130" t="s">
        <v>27</v>
      </c>
      <c r="L695" s="75">
        <f>G695*(1-'FORM-I'!$V$22/100)</f>
        <v>11.328099999999999</v>
      </c>
      <c r="N695" s="11" t="e">
        <f>VLOOKUP(B695,$B$11:B694,1,FALSE)</f>
        <v>#N/A</v>
      </c>
    </row>
    <row r="696" spans="1:14">
      <c r="B696" s="122">
        <v>9256921</v>
      </c>
      <c r="C696" s="123" t="s">
        <v>787</v>
      </c>
      <c r="D696" s="124">
        <v>20</v>
      </c>
      <c r="E696" s="125"/>
      <c r="F696" s="126"/>
      <c r="G696" s="127">
        <v>11.528700000000001</v>
      </c>
      <c r="H696" s="128" t="str">
        <f t="shared" si="39"/>
        <v>CZK</v>
      </c>
      <c r="I696" s="129"/>
      <c r="J696" s="130" t="s">
        <v>27</v>
      </c>
      <c r="L696" s="75">
        <f>G696*(1-'FORM-I'!$V$22/100)</f>
        <v>11.528700000000001</v>
      </c>
      <c r="N696" s="11" t="e">
        <f>VLOOKUP(B696,$B$11:B695,1,FALSE)</f>
        <v>#N/A</v>
      </c>
    </row>
    <row r="697" spans="1:14">
      <c r="B697" s="122">
        <v>9256922</v>
      </c>
      <c r="C697" s="123" t="s">
        <v>788</v>
      </c>
      <c r="D697" s="124">
        <v>20</v>
      </c>
      <c r="E697" s="125"/>
      <c r="F697" s="126"/>
      <c r="G697" s="127">
        <v>11.528700000000001</v>
      </c>
      <c r="H697" s="128" t="str">
        <f t="shared" si="39"/>
        <v>CZK</v>
      </c>
      <c r="I697" s="129"/>
      <c r="J697" s="130" t="s">
        <v>27</v>
      </c>
      <c r="L697" s="75">
        <f>G697*(1-'FORM-I'!$V$22/100)</f>
        <v>11.528700000000001</v>
      </c>
      <c r="N697" s="11" t="e">
        <f>VLOOKUP(B697,$B$11:B696,1,FALSE)</f>
        <v>#N/A</v>
      </c>
    </row>
    <row r="698" spans="1:14">
      <c r="B698" s="122">
        <v>9256925</v>
      </c>
      <c r="C698" s="123" t="s">
        <v>789</v>
      </c>
      <c r="D698" s="124">
        <v>20</v>
      </c>
      <c r="E698" s="125"/>
      <c r="F698" s="126"/>
      <c r="G698" s="127">
        <v>11.729900000000001</v>
      </c>
      <c r="H698" s="128" t="str">
        <f t="shared" si="39"/>
        <v>CZK</v>
      </c>
      <c r="I698" s="129"/>
      <c r="J698" s="130" t="s">
        <v>27</v>
      </c>
      <c r="L698" s="75">
        <f>G698*(1-'FORM-I'!$V$22/100)</f>
        <v>11.729900000000001</v>
      </c>
      <c r="N698" s="11" t="e">
        <f>VLOOKUP(B698,$B$11:B697,1,FALSE)</f>
        <v>#N/A</v>
      </c>
    </row>
    <row r="699" spans="1:14">
      <c r="B699" s="165">
        <v>9256926</v>
      </c>
      <c r="C699" s="166" t="s">
        <v>790</v>
      </c>
      <c r="D699" s="167">
        <v>20</v>
      </c>
      <c r="E699" s="168"/>
      <c r="F699" s="169"/>
      <c r="G699" s="170">
        <v>11.729900000000001</v>
      </c>
      <c r="H699" s="171" t="str">
        <f t="shared" si="39"/>
        <v>CZK</v>
      </c>
      <c r="I699" s="172"/>
      <c r="J699" s="173" t="s">
        <v>27</v>
      </c>
      <c r="L699" s="75">
        <f>G699*(1-'FORM-I'!$V$22/100)</f>
        <v>11.729900000000001</v>
      </c>
      <c r="N699" s="11" t="e">
        <f>VLOOKUP(B699,$B$11:B698,1,FALSE)</f>
        <v>#N/A</v>
      </c>
    </row>
    <row r="700" spans="1:14">
      <c r="B700" s="165"/>
      <c r="C700" s="166"/>
      <c r="D700" s="167"/>
      <c r="E700" s="168"/>
      <c r="F700" s="169"/>
      <c r="G700" s="170"/>
      <c r="H700" s="171"/>
      <c r="I700" s="172"/>
      <c r="J700" s="173" t="s">
        <v>27</v>
      </c>
      <c r="L700" s="75">
        <f>G700*(1-'FORM-I'!$V$22/100)</f>
        <v>0</v>
      </c>
      <c r="N700" s="11" t="e">
        <f>VLOOKUP(B700,$B$11:B699,1,FALSE)</f>
        <v>#N/A</v>
      </c>
    </row>
    <row r="701" spans="1:14">
      <c r="B701" s="138">
        <v>9219966</v>
      </c>
      <c r="C701" s="139" t="s">
        <v>791</v>
      </c>
      <c r="D701" s="140">
        <v>200</v>
      </c>
      <c r="E701" s="141"/>
      <c r="F701" s="142"/>
      <c r="G701" s="143">
        <v>0.64980000000000004</v>
      </c>
      <c r="H701" s="144" t="str">
        <f t="shared" ref="H701" si="40">IF(G701="","",$H$10)</f>
        <v>CZK</v>
      </c>
      <c r="I701" s="145"/>
      <c r="J701" s="146" t="s">
        <v>27</v>
      </c>
      <c r="L701" s="75">
        <f>G701*(1-'FORM-I'!$V$22/100)</f>
        <v>0.64980000000000004</v>
      </c>
      <c r="N701" s="11" t="e">
        <f>VLOOKUP(B701,$B$11:B700,1,FALSE)</f>
        <v>#N/A</v>
      </c>
    </row>
    <row r="702" spans="1:14">
      <c r="A702" s="11" t="s">
        <v>792</v>
      </c>
      <c r="B702" s="182"/>
      <c r="C702" s="139"/>
      <c r="D702" s="140"/>
      <c r="E702" s="183"/>
      <c r="F702" s="142"/>
      <c r="G702" s="143"/>
      <c r="H702" s="144"/>
      <c r="I702" s="145"/>
      <c r="J702" s="146"/>
      <c r="L702" s="75">
        <f>G702*(1-'FORM-I'!$V$22/100)</f>
        <v>0</v>
      </c>
      <c r="N702" s="11" t="e">
        <f>VLOOKUP(B702,$B$11:B701,1,FALSE)</f>
        <v>#N/A</v>
      </c>
    </row>
    <row r="703" spans="1:14">
      <c r="A703" s="102"/>
      <c r="B703" s="184"/>
      <c r="C703" s="185"/>
      <c r="D703" s="186"/>
      <c r="E703" s="187"/>
      <c r="F703" s="188"/>
      <c r="G703" s="189"/>
      <c r="H703" s="190"/>
      <c r="I703" s="191"/>
      <c r="J703" s="192"/>
      <c r="L703" s="75">
        <f>G703*(1-'FORM-I'!$V$22/100)</f>
        <v>0</v>
      </c>
      <c r="N703" s="11" t="e">
        <f>VLOOKUP(B703,$B$11:B702,1,FALSE)</f>
        <v>#N/A</v>
      </c>
    </row>
    <row r="704" spans="1:14">
      <c r="A704" s="102"/>
      <c r="B704" s="193"/>
      <c r="C704" s="194"/>
      <c r="D704" s="195"/>
      <c r="E704" s="196"/>
      <c r="F704" s="197"/>
      <c r="G704" s="198"/>
      <c r="H704" s="199"/>
      <c r="I704" s="200"/>
      <c r="J704" s="201"/>
      <c r="L704" s="75">
        <f>G704*(1-'FORM-I'!$V$22/100)</f>
        <v>0</v>
      </c>
      <c r="N704" s="11" t="e">
        <f>VLOOKUP(B704,$B$11:B703,1,FALSE)</f>
        <v>#N/A</v>
      </c>
    </row>
    <row r="705" spans="1:14">
      <c r="A705" s="102"/>
      <c r="B705" s="193"/>
      <c r="C705" s="194"/>
      <c r="D705" s="195"/>
      <c r="E705" s="196"/>
      <c r="F705" s="197"/>
      <c r="G705" s="198"/>
      <c r="H705" s="199"/>
      <c r="I705" s="200"/>
      <c r="J705" s="201"/>
      <c r="L705" s="75">
        <f>G705*(1-'FORM-I'!$V$22/100)</f>
        <v>0</v>
      </c>
      <c r="N705" s="11" t="e">
        <f>VLOOKUP(B705,$B$11:B704,1,FALSE)</f>
        <v>#N/A</v>
      </c>
    </row>
    <row r="706" spans="1:14">
      <c r="A706" s="102"/>
      <c r="B706" s="193"/>
      <c r="C706" s="194"/>
      <c r="D706" s="195"/>
      <c r="E706" s="196"/>
      <c r="F706" s="197"/>
      <c r="G706" s="198"/>
      <c r="H706" s="199"/>
      <c r="I706" s="200"/>
      <c r="J706" s="201"/>
      <c r="L706" s="75">
        <f>G706*(1-'FORM-I'!$V$22/100)</f>
        <v>0</v>
      </c>
      <c r="N706" s="11" t="e">
        <f>VLOOKUP(B706,$B$11:B705,1,FALSE)</f>
        <v>#N/A</v>
      </c>
    </row>
    <row r="707" spans="1:14">
      <c r="A707" s="102"/>
      <c r="B707" s="193"/>
      <c r="C707" s="194"/>
      <c r="D707" s="195"/>
      <c r="E707" s="196"/>
      <c r="F707" s="197"/>
      <c r="G707" s="198"/>
      <c r="H707" s="199"/>
      <c r="I707" s="200"/>
      <c r="J707" s="201"/>
      <c r="L707" s="75">
        <f>G707*(1-'FORM-I'!$V$22/100)</f>
        <v>0</v>
      </c>
      <c r="N707" s="11" t="e">
        <f>VLOOKUP(B707,$B$11:B706,1,FALSE)</f>
        <v>#N/A</v>
      </c>
    </row>
    <row r="708" spans="1:14">
      <c r="A708" s="102"/>
      <c r="B708" s="193"/>
      <c r="C708" s="194"/>
      <c r="D708" s="195"/>
      <c r="E708" s="196"/>
      <c r="F708" s="197"/>
      <c r="G708" s="198"/>
      <c r="H708" s="199"/>
      <c r="I708" s="200"/>
      <c r="J708" s="201"/>
      <c r="L708" s="75">
        <f>G708*(1-'FORM-I'!$V$22/100)</f>
        <v>0</v>
      </c>
      <c r="N708" s="11" t="e">
        <f>VLOOKUP(B708,$B$11:B707,1,FALSE)</f>
        <v>#N/A</v>
      </c>
    </row>
    <row r="709" spans="1:14">
      <c r="A709" s="102"/>
      <c r="B709" s="193"/>
      <c r="C709" s="194"/>
      <c r="D709" s="195"/>
      <c r="E709" s="196"/>
      <c r="F709" s="197"/>
      <c r="G709" s="198"/>
      <c r="H709" s="199"/>
      <c r="I709" s="200"/>
      <c r="J709" s="201"/>
      <c r="L709" s="75">
        <f>G709*(1-'FORM-I'!$V$22/100)</f>
        <v>0</v>
      </c>
      <c r="N709" s="11" t="e">
        <f>VLOOKUP(B709,$B$11:B708,1,FALSE)</f>
        <v>#N/A</v>
      </c>
    </row>
    <row r="710" spans="1:14">
      <c r="A710" s="102"/>
      <c r="B710" s="122"/>
      <c r="C710" s="123"/>
      <c r="D710" s="124"/>
      <c r="E710" s="125"/>
      <c r="F710" s="126"/>
      <c r="G710" s="127"/>
      <c r="H710" s="128" t="str">
        <f t="shared" ref="H710:H714" si="41">IF(G710="","",$H$10)</f>
        <v/>
      </c>
      <c r="I710" s="129"/>
      <c r="J710" s="130" t="s">
        <v>27</v>
      </c>
      <c r="L710" s="75">
        <f>G710*(1-'FORM-I'!$V$22/100)</f>
        <v>0</v>
      </c>
      <c r="N710" s="11" t="e">
        <f>VLOOKUP(B710,$B$11:B709,1,FALSE)</f>
        <v>#N/A</v>
      </c>
    </row>
    <row r="711" spans="1:14">
      <c r="A711" s="102"/>
      <c r="B711" s="122"/>
      <c r="C711" s="123"/>
      <c r="D711" s="124"/>
      <c r="E711" s="125"/>
      <c r="F711" s="126"/>
      <c r="G711" s="127"/>
      <c r="H711" s="128" t="str">
        <f t="shared" si="41"/>
        <v/>
      </c>
      <c r="I711" s="129"/>
      <c r="J711" s="130" t="s">
        <v>27</v>
      </c>
      <c r="L711" s="75">
        <f>G711*(1-'FORM-I'!$V$22/100)</f>
        <v>0</v>
      </c>
      <c r="N711" s="11" t="e">
        <f>VLOOKUP(B711,$B$11:B710,1,FALSE)</f>
        <v>#N/A</v>
      </c>
    </row>
    <row r="712" spans="1:14" hidden="1">
      <c r="A712" s="102"/>
      <c r="B712" s="122"/>
      <c r="C712" s="123"/>
      <c r="D712" s="124"/>
      <c r="E712" s="125"/>
      <c r="F712" s="126"/>
      <c r="G712" s="127"/>
      <c r="H712" s="128" t="str">
        <f t="shared" si="41"/>
        <v/>
      </c>
      <c r="I712" s="129"/>
      <c r="J712" s="130" t="s">
        <v>27</v>
      </c>
      <c r="L712" s="75">
        <f>G712*(1-'FORM-I'!$V$22/100)</f>
        <v>0</v>
      </c>
    </row>
    <row r="713" spans="1:14" hidden="1">
      <c r="A713" s="102"/>
      <c r="B713" s="122"/>
      <c r="C713" s="123"/>
      <c r="D713" s="124"/>
      <c r="E713" s="125"/>
      <c r="F713" s="126"/>
      <c r="G713" s="127"/>
      <c r="H713" s="128" t="str">
        <f t="shared" si="41"/>
        <v/>
      </c>
      <c r="I713" s="129"/>
      <c r="J713" s="130" t="s">
        <v>27</v>
      </c>
      <c r="L713" s="75">
        <f>G713*(1-'FORM-I'!$V$22/100)</f>
        <v>0</v>
      </c>
    </row>
    <row r="714" spans="1:14" hidden="1">
      <c r="A714" s="102"/>
      <c r="B714" s="122"/>
      <c r="C714" s="123"/>
      <c r="D714" s="124"/>
      <c r="E714" s="125"/>
      <c r="F714" s="126"/>
      <c r="G714" s="127"/>
      <c r="H714" s="128" t="str">
        <f t="shared" si="41"/>
        <v/>
      </c>
      <c r="I714" s="129"/>
      <c r="J714" s="130" t="s">
        <v>27</v>
      </c>
      <c r="L714" s="75">
        <f>G714*(1-'FORM-I'!$V$22/100)</f>
        <v>0</v>
      </c>
    </row>
    <row r="715" spans="1:14" hidden="1">
      <c r="A715" s="102"/>
      <c r="B715" s="122"/>
      <c r="C715" s="123"/>
      <c r="D715" s="124"/>
      <c r="E715" s="125"/>
      <c r="F715" s="126"/>
      <c r="G715" s="127"/>
      <c r="H715" s="128" t="str">
        <f>IF(G715="","",$H$10)</f>
        <v/>
      </c>
      <c r="I715" s="129"/>
      <c r="J715" s="130" t="s">
        <v>27</v>
      </c>
      <c r="L715" s="75">
        <f>G715*(1-'FORM-I'!$V$22/100)</f>
        <v>0</v>
      </c>
    </row>
    <row r="716" spans="1:14" hidden="1">
      <c r="A716" s="102"/>
      <c r="B716" s="122"/>
      <c r="C716" s="123"/>
      <c r="D716" s="124"/>
      <c r="E716" s="125"/>
      <c r="F716" s="126"/>
      <c r="G716" s="127"/>
      <c r="H716" s="128" t="str">
        <f t="shared" ref="H716:H729" si="42">IF(G716="","",$H$10)</f>
        <v/>
      </c>
      <c r="I716" s="129"/>
      <c r="J716" s="130" t="s">
        <v>27</v>
      </c>
      <c r="L716" s="75">
        <f>G716*(1-'FORM-I'!$V$22/100)</f>
        <v>0</v>
      </c>
    </row>
    <row r="717" spans="1:14" hidden="1">
      <c r="A717" s="102"/>
      <c r="B717" s="122"/>
      <c r="C717" s="123"/>
      <c r="D717" s="124"/>
      <c r="E717" s="125"/>
      <c r="F717" s="126"/>
      <c r="G717" s="127"/>
      <c r="H717" s="128" t="str">
        <f t="shared" si="42"/>
        <v/>
      </c>
      <c r="I717" s="129"/>
      <c r="J717" s="130" t="s">
        <v>27</v>
      </c>
      <c r="L717" s="75">
        <f>G717*(1-'FORM-I'!$V$22/100)</f>
        <v>0</v>
      </c>
    </row>
    <row r="718" spans="1:14" hidden="1">
      <c r="A718" s="102"/>
      <c r="B718" s="122"/>
      <c r="C718" s="123"/>
      <c r="D718" s="124"/>
      <c r="E718" s="125"/>
      <c r="F718" s="126"/>
      <c r="G718" s="127"/>
      <c r="H718" s="128" t="str">
        <f t="shared" si="42"/>
        <v/>
      </c>
      <c r="I718" s="129"/>
      <c r="J718" s="130" t="s">
        <v>27</v>
      </c>
      <c r="L718" s="75">
        <f>G718*(1-'FORM-I'!$V$22/100)</f>
        <v>0</v>
      </c>
    </row>
    <row r="719" spans="1:14" hidden="1">
      <c r="A719" s="102"/>
      <c r="B719" s="122"/>
      <c r="C719" s="123"/>
      <c r="D719" s="124"/>
      <c r="E719" s="125"/>
      <c r="F719" s="126"/>
      <c r="G719" s="127"/>
      <c r="H719" s="128" t="str">
        <f t="shared" si="42"/>
        <v/>
      </c>
      <c r="I719" s="129"/>
      <c r="J719" s="130" t="s">
        <v>27</v>
      </c>
      <c r="L719" s="75">
        <f>G719*(1-'FORM-I'!$V$22/100)</f>
        <v>0</v>
      </c>
    </row>
    <row r="720" spans="1:14" hidden="1">
      <c r="A720" s="102"/>
      <c r="B720" s="122"/>
      <c r="C720" s="123"/>
      <c r="D720" s="124"/>
      <c r="E720" s="125"/>
      <c r="F720" s="126"/>
      <c r="G720" s="127"/>
      <c r="H720" s="128" t="str">
        <f t="shared" si="42"/>
        <v/>
      </c>
      <c r="I720" s="129"/>
      <c r="J720" s="130" t="s">
        <v>27</v>
      </c>
      <c r="L720" s="75">
        <f>G720*(1-'FORM-I'!$V$22/100)</f>
        <v>0</v>
      </c>
    </row>
    <row r="721" spans="1:12" hidden="1">
      <c r="A721" s="102"/>
      <c r="B721" s="122"/>
      <c r="C721" s="123"/>
      <c r="D721" s="124"/>
      <c r="E721" s="125"/>
      <c r="F721" s="126"/>
      <c r="G721" s="127"/>
      <c r="H721" s="128" t="str">
        <f t="shared" si="42"/>
        <v/>
      </c>
      <c r="I721" s="129"/>
      <c r="J721" s="130" t="s">
        <v>27</v>
      </c>
      <c r="L721" s="75">
        <f>G721*(1-'FORM-I'!$V$22/100)</f>
        <v>0</v>
      </c>
    </row>
    <row r="722" spans="1:12" hidden="1">
      <c r="A722" s="102"/>
      <c r="B722" s="122"/>
      <c r="C722" s="123"/>
      <c r="D722" s="124"/>
      <c r="E722" s="125"/>
      <c r="F722" s="126"/>
      <c r="G722" s="127"/>
      <c r="H722" s="128" t="str">
        <f t="shared" si="42"/>
        <v/>
      </c>
      <c r="I722" s="129"/>
      <c r="J722" s="130" t="s">
        <v>27</v>
      </c>
      <c r="L722" s="75">
        <f>G722*(1-'FORM-I'!$V$22/100)</f>
        <v>0</v>
      </c>
    </row>
    <row r="723" spans="1:12" hidden="1">
      <c r="A723" s="102"/>
      <c r="B723" s="122"/>
      <c r="C723" s="123"/>
      <c r="D723" s="124"/>
      <c r="E723" s="125"/>
      <c r="F723" s="126"/>
      <c r="G723" s="127"/>
      <c r="H723" s="128" t="str">
        <f t="shared" si="42"/>
        <v/>
      </c>
      <c r="I723" s="129"/>
      <c r="J723" s="130" t="s">
        <v>27</v>
      </c>
      <c r="L723" s="75">
        <f>G723*(1-'FORM-I'!$V$22/100)</f>
        <v>0</v>
      </c>
    </row>
    <row r="724" spans="1:12" hidden="1">
      <c r="A724" s="102"/>
      <c r="B724" s="122"/>
      <c r="C724" s="123"/>
      <c r="D724" s="124"/>
      <c r="E724" s="125"/>
      <c r="F724" s="126"/>
      <c r="G724" s="127"/>
      <c r="H724" s="128" t="str">
        <f t="shared" si="42"/>
        <v/>
      </c>
      <c r="I724" s="129"/>
      <c r="J724" s="130" t="s">
        <v>27</v>
      </c>
      <c r="L724" s="75">
        <f>G724*(1-'FORM-I'!$V$22/100)</f>
        <v>0</v>
      </c>
    </row>
    <row r="725" spans="1:12" hidden="1">
      <c r="A725" s="112"/>
      <c r="B725" s="122"/>
      <c r="C725" s="123"/>
      <c r="D725" s="124"/>
      <c r="E725" s="125"/>
      <c r="F725" s="126"/>
      <c r="G725" s="127"/>
      <c r="H725" s="128" t="str">
        <f t="shared" si="42"/>
        <v/>
      </c>
      <c r="I725" s="129"/>
      <c r="J725" s="130" t="s">
        <v>27</v>
      </c>
      <c r="L725" s="75">
        <f>G725*(1-'FORM-I'!$V$22/100)</f>
        <v>0</v>
      </c>
    </row>
    <row r="726" spans="1:12" hidden="1">
      <c r="A726" s="112"/>
      <c r="B726" s="122"/>
      <c r="C726" s="123"/>
      <c r="D726" s="124"/>
      <c r="E726" s="125"/>
      <c r="F726" s="126"/>
      <c r="G726" s="127"/>
      <c r="H726" s="128" t="str">
        <f t="shared" si="42"/>
        <v/>
      </c>
      <c r="I726" s="129"/>
      <c r="J726" s="130" t="s">
        <v>27</v>
      </c>
      <c r="L726" s="75">
        <f>G726*(1-'FORM-I'!$V$22/100)</f>
        <v>0</v>
      </c>
    </row>
    <row r="727" spans="1:12" hidden="1">
      <c r="A727" s="112"/>
      <c r="B727" s="122"/>
      <c r="C727" s="123"/>
      <c r="D727" s="124"/>
      <c r="E727" s="125"/>
      <c r="F727" s="126"/>
      <c r="G727" s="127"/>
      <c r="H727" s="128" t="str">
        <f t="shared" si="42"/>
        <v/>
      </c>
      <c r="I727" s="129"/>
      <c r="J727" s="130" t="s">
        <v>27</v>
      </c>
      <c r="L727" s="75">
        <f>G727*(1-'FORM-I'!$V$22/100)</f>
        <v>0</v>
      </c>
    </row>
    <row r="728" spans="1:12" hidden="1">
      <c r="A728" s="112"/>
      <c r="B728" s="122"/>
      <c r="C728" s="123"/>
      <c r="D728" s="124"/>
      <c r="E728" s="125"/>
      <c r="F728" s="126"/>
      <c r="G728" s="127"/>
      <c r="H728" s="128" t="str">
        <f t="shared" si="42"/>
        <v/>
      </c>
      <c r="I728" s="129"/>
      <c r="J728" s="130" t="s">
        <v>27</v>
      </c>
      <c r="L728" s="75">
        <f>G728*(1-'FORM-I'!$V$22/100)</f>
        <v>0</v>
      </c>
    </row>
    <row r="729" spans="1:12" hidden="1">
      <c r="A729" s="112"/>
      <c r="B729" s="122"/>
      <c r="C729" s="123"/>
      <c r="D729" s="124"/>
      <c r="E729" s="125"/>
      <c r="F729" s="126"/>
      <c r="G729" s="127"/>
      <c r="H729" s="128" t="str">
        <f t="shared" si="42"/>
        <v/>
      </c>
      <c r="I729" s="129"/>
      <c r="J729" s="130" t="s">
        <v>27</v>
      </c>
      <c r="L729" s="75">
        <f>G729*(1-'FORM-I'!$V$22/100)</f>
        <v>0</v>
      </c>
    </row>
    <row r="730" spans="1:12" hidden="1">
      <c r="A730" s="112"/>
      <c r="B730" s="122"/>
      <c r="C730" s="123"/>
      <c r="D730" s="124"/>
      <c r="E730" s="125"/>
      <c r="F730" s="126"/>
      <c r="G730" s="127"/>
      <c r="H730" s="128" t="str">
        <f>IF(G730="","",$H$10)</f>
        <v/>
      </c>
      <c r="I730" s="129"/>
      <c r="J730" s="130" t="s">
        <v>27</v>
      </c>
      <c r="L730" s="75">
        <f>G730*(1-'FORM-I'!$V$22/100)</f>
        <v>0</v>
      </c>
    </row>
    <row r="731" spans="1:12" hidden="1">
      <c r="A731" s="112"/>
      <c r="B731" s="122"/>
      <c r="C731" s="123"/>
      <c r="D731" s="124"/>
      <c r="E731" s="125"/>
      <c r="F731" s="126"/>
      <c r="G731" s="127"/>
      <c r="H731" s="128" t="str">
        <f>IF(G731="","",$H$10)</f>
        <v/>
      </c>
      <c r="I731" s="129"/>
      <c r="J731" s="130" t="s">
        <v>27</v>
      </c>
      <c r="L731" s="75">
        <f>G731*(1-'FORM-I'!$V$22/100)</f>
        <v>0</v>
      </c>
    </row>
    <row r="732" spans="1:12" hidden="1">
      <c r="A732" s="112"/>
      <c r="B732" s="122"/>
      <c r="C732" s="123"/>
      <c r="D732" s="124"/>
      <c r="E732" s="125"/>
      <c r="F732" s="126"/>
      <c r="G732" s="127"/>
      <c r="H732" s="128" t="str">
        <f>IF(G732="","",$H$10)</f>
        <v/>
      </c>
      <c r="I732" s="129"/>
      <c r="J732" s="130" t="s">
        <v>27</v>
      </c>
      <c r="L732" s="75">
        <f>G732*(1-'FORM-I'!$V$22/100)</f>
        <v>0</v>
      </c>
    </row>
    <row r="733" spans="1:12" hidden="1">
      <c r="A733" s="112"/>
      <c r="B733" s="122"/>
      <c r="C733" s="123"/>
      <c r="D733" s="124"/>
      <c r="E733" s="125"/>
      <c r="F733" s="126"/>
      <c r="G733" s="127"/>
      <c r="H733" s="128" t="str">
        <f t="shared" ref="H733:H751" si="43">IF(G733="","",$H$10)</f>
        <v/>
      </c>
      <c r="I733" s="129"/>
      <c r="J733" s="130" t="s">
        <v>27</v>
      </c>
      <c r="L733" s="75">
        <f>G733*(1-'FORM-I'!$V$22/100)</f>
        <v>0</v>
      </c>
    </row>
    <row r="734" spans="1:12" hidden="1">
      <c r="A734" s="112"/>
      <c r="B734" s="122"/>
      <c r="C734" s="123"/>
      <c r="D734" s="124"/>
      <c r="E734" s="125"/>
      <c r="F734" s="126"/>
      <c r="G734" s="127"/>
      <c r="H734" s="128" t="str">
        <f t="shared" si="43"/>
        <v/>
      </c>
      <c r="I734" s="129"/>
      <c r="J734" s="130" t="s">
        <v>27</v>
      </c>
      <c r="L734" s="75">
        <f>G734*(1-'FORM-I'!$V$22/100)</f>
        <v>0</v>
      </c>
    </row>
    <row r="735" spans="1:12" hidden="1">
      <c r="A735" s="112"/>
      <c r="B735" s="122"/>
      <c r="C735" s="123"/>
      <c r="D735" s="124"/>
      <c r="E735" s="125"/>
      <c r="F735" s="126"/>
      <c r="G735" s="127"/>
      <c r="H735" s="128" t="str">
        <f t="shared" si="43"/>
        <v/>
      </c>
      <c r="I735" s="129"/>
      <c r="J735" s="130" t="s">
        <v>27</v>
      </c>
      <c r="L735" s="75">
        <f>G735*(1-'FORM-I'!$V$22/100)</f>
        <v>0</v>
      </c>
    </row>
    <row r="736" spans="1:12" hidden="1">
      <c r="A736" s="112"/>
      <c r="B736" s="122"/>
      <c r="C736" s="123"/>
      <c r="D736" s="124"/>
      <c r="E736" s="125"/>
      <c r="F736" s="126"/>
      <c r="G736" s="127"/>
      <c r="H736" s="128" t="str">
        <f t="shared" si="43"/>
        <v/>
      </c>
      <c r="I736" s="129"/>
      <c r="J736" s="130" t="s">
        <v>27</v>
      </c>
      <c r="L736" s="75">
        <f>G736*(1-'FORM-I'!$V$22/100)</f>
        <v>0</v>
      </c>
    </row>
    <row r="737" spans="1:12" hidden="1">
      <c r="A737" s="112"/>
      <c r="B737" s="122"/>
      <c r="C737" s="123"/>
      <c r="D737" s="124"/>
      <c r="E737" s="125"/>
      <c r="F737" s="126"/>
      <c r="G737" s="127"/>
      <c r="H737" s="128" t="str">
        <f t="shared" si="43"/>
        <v/>
      </c>
      <c r="I737" s="129"/>
      <c r="J737" s="130" t="s">
        <v>27</v>
      </c>
      <c r="L737" s="75">
        <f>G737*(1-'FORM-I'!$V$22/100)</f>
        <v>0</v>
      </c>
    </row>
    <row r="738" spans="1:12" hidden="1">
      <c r="A738" s="112"/>
      <c r="B738" s="122"/>
      <c r="C738" s="123"/>
      <c r="D738" s="124"/>
      <c r="E738" s="125"/>
      <c r="F738" s="126"/>
      <c r="G738" s="127"/>
      <c r="H738" s="128" t="str">
        <f t="shared" si="43"/>
        <v/>
      </c>
      <c r="I738" s="129"/>
      <c r="J738" s="130" t="s">
        <v>27</v>
      </c>
      <c r="L738" s="75">
        <f>G738*(1-'FORM-I'!$V$22/100)</f>
        <v>0</v>
      </c>
    </row>
    <row r="739" spans="1:12" hidden="1">
      <c r="A739" s="112"/>
      <c r="B739" s="122"/>
      <c r="C739" s="123"/>
      <c r="D739" s="124"/>
      <c r="E739" s="125"/>
      <c r="F739" s="126"/>
      <c r="G739" s="127"/>
      <c r="H739" s="128" t="str">
        <f t="shared" si="43"/>
        <v/>
      </c>
      <c r="I739" s="129"/>
      <c r="J739" s="130" t="s">
        <v>27</v>
      </c>
      <c r="L739" s="75">
        <f>G739*(1-'FORM-I'!$V$22/100)</f>
        <v>0</v>
      </c>
    </row>
    <row r="740" spans="1:12" hidden="1">
      <c r="A740" s="112"/>
      <c r="B740" s="122"/>
      <c r="C740" s="123"/>
      <c r="D740" s="124"/>
      <c r="E740" s="125"/>
      <c r="F740" s="126"/>
      <c r="G740" s="127"/>
      <c r="H740" s="128" t="str">
        <f t="shared" si="43"/>
        <v/>
      </c>
      <c r="I740" s="129"/>
      <c r="J740" s="130" t="s">
        <v>27</v>
      </c>
      <c r="L740" s="75">
        <f>G740*(1-'FORM-I'!$V$22/100)</f>
        <v>0</v>
      </c>
    </row>
    <row r="741" spans="1:12" hidden="1">
      <c r="A741" s="112"/>
      <c r="B741" s="122"/>
      <c r="C741" s="123"/>
      <c r="D741" s="124"/>
      <c r="E741" s="125"/>
      <c r="F741" s="126"/>
      <c r="G741" s="127"/>
      <c r="H741" s="128" t="str">
        <f t="shared" si="43"/>
        <v/>
      </c>
      <c r="I741" s="129"/>
      <c r="J741" s="130" t="s">
        <v>27</v>
      </c>
      <c r="L741" s="75">
        <f>G741*(1-'FORM-I'!$V$22/100)</f>
        <v>0</v>
      </c>
    </row>
    <row r="742" spans="1:12" hidden="1">
      <c r="A742" s="112"/>
      <c r="B742" s="122"/>
      <c r="C742" s="123"/>
      <c r="D742" s="124"/>
      <c r="E742" s="125"/>
      <c r="F742" s="126"/>
      <c r="G742" s="127"/>
      <c r="H742" s="128" t="str">
        <f t="shared" si="43"/>
        <v/>
      </c>
      <c r="I742" s="129"/>
      <c r="J742" s="130" t="s">
        <v>27</v>
      </c>
      <c r="L742" s="75">
        <f>G742*(1-'FORM-I'!$V$22/100)</f>
        <v>0</v>
      </c>
    </row>
    <row r="743" spans="1:12" hidden="1">
      <c r="A743" s="112"/>
      <c r="B743" s="122"/>
      <c r="C743" s="123"/>
      <c r="D743" s="124"/>
      <c r="E743" s="125"/>
      <c r="F743" s="126"/>
      <c r="G743" s="127"/>
      <c r="H743" s="128" t="str">
        <f t="shared" si="43"/>
        <v/>
      </c>
      <c r="I743" s="129"/>
      <c r="J743" s="130" t="s">
        <v>27</v>
      </c>
      <c r="L743" s="75">
        <f>G743*(1-'FORM-I'!$V$22/100)</f>
        <v>0</v>
      </c>
    </row>
    <row r="744" spans="1:12" hidden="1">
      <c r="A744" s="112"/>
      <c r="B744" s="122"/>
      <c r="C744" s="123"/>
      <c r="D744" s="124"/>
      <c r="E744" s="125"/>
      <c r="F744" s="126"/>
      <c r="G744" s="127"/>
      <c r="H744" s="128" t="str">
        <f t="shared" si="43"/>
        <v/>
      </c>
      <c r="I744" s="129"/>
      <c r="J744" s="130" t="s">
        <v>27</v>
      </c>
      <c r="L744" s="75">
        <f>G744*(1-'FORM-I'!$V$22/100)</f>
        <v>0</v>
      </c>
    </row>
    <row r="745" spans="1:12" hidden="1">
      <c r="A745" s="112"/>
      <c r="B745" s="122"/>
      <c r="C745" s="123"/>
      <c r="D745" s="124"/>
      <c r="E745" s="125"/>
      <c r="F745" s="126"/>
      <c r="G745" s="127"/>
      <c r="H745" s="128" t="str">
        <f t="shared" si="43"/>
        <v/>
      </c>
      <c r="I745" s="129"/>
      <c r="J745" s="130" t="s">
        <v>27</v>
      </c>
      <c r="L745" s="75">
        <f>G745*(1-'FORM-I'!$V$22/100)</f>
        <v>0</v>
      </c>
    </row>
    <row r="746" spans="1:12" hidden="1">
      <c r="A746" s="112"/>
      <c r="B746" s="122"/>
      <c r="C746" s="123"/>
      <c r="D746" s="124"/>
      <c r="E746" s="125"/>
      <c r="F746" s="126"/>
      <c r="G746" s="127"/>
      <c r="H746" s="128" t="str">
        <f t="shared" si="43"/>
        <v/>
      </c>
      <c r="I746" s="129"/>
      <c r="J746" s="130" t="s">
        <v>27</v>
      </c>
      <c r="L746" s="75">
        <f>G746*(1-'FORM-I'!$V$22/100)</f>
        <v>0</v>
      </c>
    </row>
    <row r="747" spans="1:12" hidden="1">
      <c r="A747" s="112"/>
      <c r="B747" s="122"/>
      <c r="C747" s="123"/>
      <c r="D747" s="124"/>
      <c r="E747" s="125"/>
      <c r="F747" s="126"/>
      <c r="G747" s="127"/>
      <c r="H747" s="128" t="str">
        <f t="shared" si="43"/>
        <v/>
      </c>
      <c r="I747" s="129"/>
      <c r="J747" s="130" t="s">
        <v>27</v>
      </c>
      <c r="L747" s="75">
        <f>G747*(1-'FORM-I'!$V$22/100)</f>
        <v>0</v>
      </c>
    </row>
    <row r="748" spans="1:12" hidden="1">
      <c r="A748" s="112"/>
      <c r="B748" s="122"/>
      <c r="C748" s="123"/>
      <c r="D748" s="124"/>
      <c r="E748" s="125"/>
      <c r="F748" s="126"/>
      <c r="G748" s="127"/>
      <c r="H748" s="128" t="str">
        <f t="shared" si="43"/>
        <v/>
      </c>
      <c r="I748" s="129"/>
      <c r="J748" s="130" t="s">
        <v>27</v>
      </c>
      <c r="L748" s="75">
        <f>G748*(1-'FORM-I'!$V$22/100)</f>
        <v>0</v>
      </c>
    </row>
    <row r="749" spans="1:12" hidden="1">
      <c r="A749" s="112"/>
      <c r="B749" s="122"/>
      <c r="C749" s="123"/>
      <c r="D749" s="124"/>
      <c r="E749" s="125"/>
      <c r="F749" s="126"/>
      <c r="G749" s="127"/>
      <c r="H749" s="128" t="str">
        <f t="shared" si="43"/>
        <v/>
      </c>
      <c r="I749" s="129"/>
      <c r="J749" s="130" t="s">
        <v>27</v>
      </c>
      <c r="L749" s="75">
        <f>G749*(1-'FORM-I'!$V$22/100)</f>
        <v>0</v>
      </c>
    </row>
    <row r="750" spans="1:12" hidden="1">
      <c r="A750" s="112"/>
      <c r="B750" s="122"/>
      <c r="C750" s="123"/>
      <c r="D750" s="124"/>
      <c r="E750" s="125"/>
      <c r="F750" s="126"/>
      <c r="G750" s="127"/>
      <c r="H750" s="128" t="str">
        <f t="shared" si="43"/>
        <v/>
      </c>
      <c r="I750" s="129"/>
      <c r="J750" s="130" t="s">
        <v>27</v>
      </c>
      <c r="L750" s="75">
        <f>G750*(1-'FORM-I'!$V$22/100)</f>
        <v>0</v>
      </c>
    </row>
    <row r="751" spans="1:12" hidden="1">
      <c r="A751" s="112"/>
      <c r="B751" s="122"/>
      <c r="C751" s="123"/>
      <c r="D751" s="124"/>
      <c r="E751" s="125"/>
      <c r="F751" s="126"/>
      <c r="G751" s="127"/>
      <c r="H751" s="128" t="str">
        <f t="shared" si="43"/>
        <v/>
      </c>
      <c r="I751" s="129"/>
      <c r="J751" s="130" t="s">
        <v>27</v>
      </c>
      <c r="L751" s="75">
        <f>G751*(1-'FORM-I'!$V$22/100)</f>
        <v>0</v>
      </c>
    </row>
    <row r="752" spans="1:12" hidden="1">
      <c r="A752" s="112"/>
      <c r="B752" s="122"/>
      <c r="C752" s="123"/>
      <c r="D752" s="124"/>
      <c r="E752" s="125"/>
      <c r="F752" s="126"/>
      <c r="G752" s="127"/>
      <c r="H752" s="128" t="str">
        <f>IF(G752="","",$H$10)</f>
        <v/>
      </c>
      <c r="I752" s="129"/>
      <c r="J752" s="130" t="s">
        <v>27</v>
      </c>
      <c r="L752" s="75">
        <f>G752*(1-'FORM-I'!$V$22/100)</f>
        <v>0</v>
      </c>
    </row>
    <row r="753" spans="1:12" hidden="1">
      <c r="A753" s="112"/>
      <c r="B753" s="122"/>
      <c r="C753" s="123"/>
      <c r="D753" s="124"/>
      <c r="E753" s="125"/>
      <c r="F753" s="126"/>
      <c r="G753" s="127"/>
      <c r="H753" s="128" t="str">
        <f t="shared" ref="H753:H816" si="44">IF(G753="","",$H$10)</f>
        <v/>
      </c>
      <c r="I753" s="129"/>
      <c r="J753" s="130" t="s">
        <v>27</v>
      </c>
      <c r="L753" s="75">
        <f>G753*(1-'FORM-I'!$V$22/100)</f>
        <v>0</v>
      </c>
    </row>
    <row r="754" spans="1:12" hidden="1">
      <c r="A754" s="112"/>
      <c r="B754" s="122"/>
      <c r="C754" s="123"/>
      <c r="D754" s="124"/>
      <c r="E754" s="125"/>
      <c r="F754" s="126"/>
      <c r="G754" s="127"/>
      <c r="H754" s="128" t="str">
        <f t="shared" si="44"/>
        <v/>
      </c>
      <c r="I754" s="129"/>
      <c r="J754" s="130" t="s">
        <v>27</v>
      </c>
      <c r="L754" s="75">
        <f>G754*(1-'FORM-I'!$V$22/100)</f>
        <v>0</v>
      </c>
    </row>
    <row r="755" spans="1:12" hidden="1">
      <c r="A755" s="112"/>
      <c r="B755" s="122"/>
      <c r="C755" s="123"/>
      <c r="D755" s="124"/>
      <c r="E755" s="125"/>
      <c r="F755" s="126"/>
      <c r="G755" s="127"/>
      <c r="H755" s="128" t="str">
        <f t="shared" si="44"/>
        <v/>
      </c>
      <c r="I755" s="129"/>
      <c r="J755" s="130" t="s">
        <v>27</v>
      </c>
      <c r="L755" s="75">
        <f>G755*(1-'FORM-I'!$V$22/100)</f>
        <v>0</v>
      </c>
    </row>
    <row r="756" spans="1:12" hidden="1">
      <c r="A756" s="112"/>
      <c r="B756" s="122"/>
      <c r="C756" s="123"/>
      <c r="D756" s="124"/>
      <c r="E756" s="125"/>
      <c r="F756" s="126"/>
      <c r="G756" s="127"/>
      <c r="H756" s="128" t="str">
        <f t="shared" si="44"/>
        <v/>
      </c>
      <c r="I756" s="129"/>
      <c r="J756" s="130" t="s">
        <v>27</v>
      </c>
      <c r="L756" s="75">
        <f>G756*(1-'FORM-I'!$V$22/100)</f>
        <v>0</v>
      </c>
    </row>
    <row r="757" spans="1:12" hidden="1">
      <c r="A757" s="112"/>
      <c r="B757" s="122"/>
      <c r="C757" s="123"/>
      <c r="D757" s="124"/>
      <c r="E757" s="125"/>
      <c r="F757" s="126"/>
      <c r="G757" s="127"/>
      <c r="H757" s="128" t="str">
        <f t="shared" si="44"/>
        <v/>
      </c>
      <c r="I757" s="129"/>
      <c r="J757" s="130" t="s">
        <v>27</v>
      </c>
      <c r="L757" s="75">
        <f>G757*(1-'FORM-I'!$V$22/100)</f>
        <v>0</v>
      </c>
    </row>
    <row r="758" spans="1:12" hidden="1">
      <c r="A758" s="112"/>
      <c r="B758" s="122"/>
      <c r="C758" s="123"/>
      <c r="D758" s="124"/>
      <c r="E758" s="125"/>
      <c r="F758" s="126"/>
      <c r="G758" s="127"/>
      <c r="H758" s="128" t="str">
        <f t="shared" si="44"/>
        <v/>
      </c>
      <c r="I758" s="129"/>
      <c r="J758" s="130" t="s">
        <v>27</v>
      </c>
      <c r="L758" s="75">
        <f>G758*(1-'FORM-I'!$V$22/100)</f>
        <v>0</v>
      </c>
    </row>
    <row r="759" spans="1:12" hidden="1">
      <c r="A759" s="112"/>
      <c r="B759" s="122"/>
      <c r="C759" s="123"/>
      <c r="D759" s="124"/>
      <c r="E759" s="125"/>
      <c r="F759" s="126"/>
      <c r="G759" s="127"/>
      <c r="H759" s="128" t="str">
        <f t="shared" si="44"/>
        <v/>
      </c>
      <c r="I759" s="129"/>
      <c r="J759" s="130" t="s">
        <v>27</v>
      </c>
      <c r="L759" s="75">
        <f>G759*(1-'FORM-I'!$V$22/100)</f>
        <v>0</v>
      </c>
    </row>
    <row r="760" spans="1:12" hidden="1">
      <c r="A760" s="112"/>
      <c r="B760" s="122"/>
      <c r="C760" s="123"/>
      <c r="D760" s="124"/>
      <c r="E760" s="125"/>
      <c r="F760" s="126"/>
      <c r="G760" s="127"/>
      <c r="H760" s="128" t="str">
        <f t="shared" si="44"/>
        <v/>
      </c>
      <c r="I760" s="129"/>
      <c r="J760" s="130" t="s">
        <v>27</v>
      </c>
      <c r="L760" s="75">
        <f>G760*(1-'FORM-I'!$V$22/100)</f>
        <v>0</v>
      </c>
    </row>
    <row r="761" spans="1:12" hidden="1">
      <c r="A761" s="112"/>
      <c r="B761" s="122"/>
      <c r="C761" s="123"/>
      <c r="D761" s="124"/>
      <c r="E761" s="125"/>
      <c r="F761" s="126"/>
      <c r="G761" s="127"/>
      <c r="H761" s="128" t="str">
        <f t="shared" si="44"/>
        <v/>
      </c>
      <c r="I761" s="129"/>
      <c r="J761" s="130" t="s">
        <v>27</v>
      </c>
      <c r="L761" s="75">
        <f>G761*(1-'FORM-I'!$V$22/100)</f>
        <v>0</v>
      </c>
    </row>
    <row r="762" spans="1:12" hidden="1">
      <c r="B762" s="122"/>
      <c r="C762" s="123"/>
      <c r="D762" s="124"/>
      <c r="E762" s="125"/>
      <c r="F762" s="126"/>
      <c r="G762" s="127"/>
      <c r="H762" s="128" t="str">
        <f t="shared" si="44"/>
        <v/>
      </c>
      <c r="I762" s="129"/>
      <c r="J762" s="130" t="s">
        <v>27</v>
      </c>
      <c r="L762" s="75">
        <f>G762*(1-'FORM-I'!$V$22/100)</f>
        <v>0</v>
      </c>
    </row>
    <row r="763" spans="1:12" hidden="1">
      <c r="B763" s="122"/>
      <c r="C763" s="123"/>
      <c r="D763" s="124"/>
      <c r="E763" s="125"/>
      <c r="F763" s="126"/>
      <c r="G763" s="127"/>
      <c r="H763" s="128" t="str">
        <f t="shared" si="44"/>
        <v/>
      </c>
      <c r="I763" s="129"/>
      <c r="J763" s="130" t="s">
        <v>27</v>
      </c>
      <c r="L763" s="75">
        <f>G763*(1-'FORM-I'!$V$22/100)</f>
        <v>0</v>
      </c>
    </row>
    <row r="764" spans="1:12" hidden="1">
      <c r="B764" s="122"/>
      <c r="C764" s="123"/>
      <c r="D764" s="124"/>
      <c r="E764" s="125"/>
      <c r="F764" s="126"/>
      <c r="G764" s="127"/>
      <c r="H764" s="128" t="str">
        <f t="shared" si="44"/>
        <v/>
      </c>
      <c r="I764" s="129"/>
      <c r="J764" s="130" t="s">
        <v>27</v>
      </c>
      <c r="L764" s="75">
        <f>G764*(1-'FORM-I'!$V$22/100)</f>
        <v>0</v>
      </c>
    </row>
    <row r="765" spans="1:12" hidden="1">
      <c r="B765" s="122"/>
      <c r="C765" s="123"/>
      <c r="D765" s="124"/>
      <c r="E765" s="125"/>
      <c r="F765" s="126"/>
      <c r="G765" s="127"/>
      <c r="H765" s="128" t="str">
        <f t="shared" si="44"/>
        <v/>
      </c>
      <c r="I765" s="129"/>
      <c r="J765" s="130" t="s">
        <v>27</v>
      </c>
      <c r="L765" s="75">
        <f>G765*(1-'FORM-I'!$V$22/100)</f>
        <v>0</v>
      </c>
    </row>
    <row r="766" spans="1:12" hidden="1">
      <c r="B766" s="122"/>
      <c r="C766" s="123"/>
      <c r="D766" s="124"/>
      <c r="E766" s="125"/>
      <c r="F766" s="126"/>
      <c r="G766" s="127"/>
      <c r="H766" s="128" t="str">
        <f t="shared" si="44"/>
        <v/>
      </c>
      <c r="I766" s="129"/>
      <c r="J766" s="130" t="s">
        <v>27</v>
      </c>
      <c r="L766" s="75">
        <f>G766*(1-'FORM-I'!$V$22/100)</f>
        <v>0</v>
      </c>
    </row>
    <row r="767" spans="1:12" hidden="1">
      <c r="B767" s="122"/>
      <c r="C767" s="123"/>
      <c r="D767" s="124"/>
      <c r="E767" s="125"/>
      <c r="F767" s="126"/>
      <c r="G767" s="127"/>
      <c r="H767" s="128" t="str">
        <f t="shared" si="44"/>
        <v/>
      </c>
      <c r="I767" s="129"/>
      <c r="J767" s="130" t="s">
        <v>27</v>
      </c>
      <c r="L767" s="75">
        <f>G767*(1-'FORM-I'!$V$22/100)</f>
        <v>0</v>
      </c>
    </row>
    <row r="768" spans="1:12" hidden="1">
      <c r="B768" s="122"/>
      <c r="C768" s="123"/>
      <c r="D768" s="124"/>
      <c r="E768" s="125"/>
      <c r="F768" s="126"/>
      <c r="G768" s="127"/>
      <c r="H768" s="128" t="str">
        <f t="shared" si="44"/>
        <v/>
      </c>
      <c r="I768" s="129"/>
      <c r="J768" s="130" t="s">
        <v>27</v>
      </c>
      <c r="L768" s="75">
        <f>G768*(1-'FORM-I'!$V$22/100)</f>
        <v>0</v>
      </c>
    </row>
    <row r="769" spans="2:12" hidden="1">
      <c r="B769" s="122"/>
      <c r="C769" s="123"/>
      <c r="D769" s="124"/>
      <c r="E769" s="125"/>
      <c r="F769" s="126"/>
      <c r="G769" s="127"/>
      <c r="H769" s="128" t="str">
        <f t="shared" si="44"/>
        <v/>
      </c>
      <c r="I769" s="129"/>
      <c r="J769" s="130" t="s">
        <v>27</v>
      </c>
      <c r="L769" s="75">
        <f>G769*(1-'FORM-I'!$V$22/100)</f>
        <v>0</v>
      </c>
    </row>
    <row r="770" spans="2:12" hidden="1">
      <c r="B770" s="122"/>
      <c r="C770" s="123"/>
      <c r="D770" s="124"/>
      <c r="E770" s="125"/>
      <c r="F770" s="126"/>
      <c r="G770" s="127"/>
      <c r="H770" s="128" t="str">
        <f t="shared" si="44"/>
        <v/>
      </c>
      <c r="I770" s="129"/>
      <c r="J770" s="130" t="s">
        <v>27</v>
      </c>
      <c r="L770" s="75">
        <f>G770*(1-'FORM-I'!$V$22/100)</f>
        <v>0</v>
      </c>
    </row>
    <row r="771" spans="2:12" hidden="1">
      <c r="B771" s="122"/>
      <c r="C771" s="123"/>
      <c r="D771" s="124"/>
      <c r="E771" s="125"/>
      <c r="F771" s="126"/>
      <c r="G771" s="127"/>
      <c r="H771" s="128" t="str">
        <f t="shared" si="44"/>
        <v/>
      </c>
      <c r="I771" s="129"/>
      <c r="J771" s="130" t="s">
        <v>27</v>
      </c>
      <c r="L771" s="75">
        <f>G771*(1-'FORM-I'!$V$22/100)</f>
        <v>0</v>
      </c>
    </row>
    <row r="772" spans="2:12" hidden="1">
      <c r="B772" s="122"/>
      <c r="C772" s="123"/>
      <c r="D772" s="124"/>
      <c r="E772" s="125"/>
      <c r="F772" s="126"/>
      <c r="G772" s="127"/>
      <c r="H772" s="128" t="str">
        <f t="shared" si="44"/>
        <v/>
      </c>
      <c r="I772" s="129"/>
      <c r="J772" s="130" t="s">
        <v>27</v>
      </c>
      <c r="L772" s="75">
        <f>G772*(1-'FORM-I'!$V$22/100)</f>
        <v>0</v>
      </c>
    </row>
    <row r="773" spans="2:12" hidden="1">
      <c r="B773" s="122"/>
      <c r="C773" s="123"/>
      <c r="D773" s="124"/>
      <c r="E773" s="125"/>
      <c r="F773" s="126"/>
      <c r="G773" s="127"/>
      <c r="H773" s="128" t="str">
        <f t="shared" si="44"/>
        <v/>
      </c>
      <c r="I773" s="129"/>
      <c r="J773" s="130" t="s">
        <v>27</v>
      </c>
      <c r="L773" s="75">
        <f>G773*(1-'FORM-I'!$V$22/100)</f>
        <v>0</v>
      </c>
    </row>
    <row r="774" spans="2:12" hidden="1">
      <c r="B774" s="122"/>
      <c r="C774" s="123"/>
      <c r="D774" s="124"/>
      <c r="E774" s="125"/>
      <c r="F774" s="126"/>
      <c r="G774" s="127"/>
      <c r="H774" s="128" t="str">
        <f t="shared" si="44"/>
        <v/>
      </c>
      <c r="I774" s="129"/>
      <c r="J774" s="130" t="s">
        <v>27</v>
      </c>
      <c r="L774" s="75">
        <f>G774*(1-'FORM-I'!$V$22/100)</f>
        <v>0</v>
      </c>
    </row>
    <row r="775" spans="2:12" hidden="1">
      <c r="B775" s="122"/>
      <c r="C775" s="123"/>
      <c r="D775" s="124"/>
      <c r="E775" s="125"/>
      <c r="F775" s="126"/>
      <c r="G775" s="127"/>
      <c r="H775" s="128" t="str">
        <f t="shared" si="44"/>
        <v/>
      </c>
      <c r="I775" s="129"/>
      <c r="J775" s="130" t="s">
        <v>27</v>
      </c>
      <c r="L775" s="75">
        <f>G775*(1-'FORM-I'!$V$22/100)</f>
        <v>0</v>
      </c>
    </row>
    <row r="776" spans="2:12" hidden="1">
      <c r="B776" s="122"/>
      <c r="C776" s="123"/>
      <c r="D776" s="124"/>
      <c r="E776" s="125"/>
      <c r="F776" s="126"/>
      <c r="G776" s="127"/>
      <c r="H776" s="128" t="str">
        <f t="shared" si="44"/>
        <v/>
      </c>
      <c r="I776" s="129"/>
      <c r="J776" s="130" t="s">
        <v>27</v>
      </c>
      <c r="L776" s="75">
        <f>G776*(1-'FORM-I'!$V$22/100)</f>
        <v>0</v>
      </c>
    </row>
    <row r="777" spans="2:12" hidden="1">
      <c r="B777" s="122"/>
      <c r="C777" s="123"/>
      <c r="D777" s="124"/>
      <c r="E777" s="125"/>
      <c r="F777" s="126"/>
      <c r="G777" s="127"/>
      <c r="H777" s="128" t="str">
        <f t="shared" si="44"/>
        <v/>
      </c>
      <c r="I777" s="129"/>
      <c r="J777" s="130" t="s">
        <v>27</v>
      </c>
      <c r="L777" s="75">
        <f>G777*(1-'FORM-I'!$V$22/100)</f>
        <v>0</v>
      </c>
    </row>
    <row r="778" spans="2:12" hidden="1">
      <c r="B778" s="122"/>
      <c r="C778" s="123"/>
      <c r="D778" s="124"/>
      <c r="E778" s="125"/>
      <c r="F778" s="126"/>
      <c r="G778" s="127"/>
      <c r="H778" s="128" t="str">
        <f t="shared" si="44"/>
        <v/>
      </c>
      <c r="I778" s="129"/>
      <c r="J778" s="130" t="s">
        <v>27</v>
      </c>
      <c r="L778" s="75">
        <f>G778*(1-'FORM-I'!$V$22/100)</f>
        <v>0</v>
      </c>
    </row>
    <row r="779" spans="2:12" hidden="1">
      <c r="B779" s="122"/>
      <c r="C779" s="123"/>
      <c r="D779" s="124"/>
      <c r="E779" s="125"/>
      <c r="F779" s="126"/>
      <c r="G779" s="127"/>
      <c r="H779" s="128" t="str">
        <f t="shared" si="44"/>
        <v/>
      </c>
      <c r="I779" s="129"/>
      <c r="J779" s="130" t="s">
        <v>27</v>
      </c>
      <c r="L779" s="75">
        <f>G779*(1-'FORM-I'!$V$22/100)</f>
        <v>0</v>
      </c>
    </row>
    <row r="780" spans="2:12" hidden="1">
      <c r="B780" s="122"/>
      <c r="C780" s="123"/>
      <c r="D780" s="124"/>
      <c r="E780" s="125"/>
      <c r="F780" s="126"/>
      <c r="G780" s="127"/>
      <c r="H780" s="128" t="str">
        <f t="shared" si="44"/>
        <v/>
      </c>
      <c r="I780" s="129"/>
      <c r="J780" s="130" t="s">
        <v>27</v>
      </c>
      <c r="L780" s="75">
        <f>G780*(1-'FORM-I'!$V$22/100)</f>
        <v>0</v>
      </c>
    </row>
    <row r="781" spans="2:12" hidden="1">
      <c r="B781" s="122"/>
      <c r="C781" s="123"/>
      <c r="D781" s="124"/>
      <c r="E781" s="125"/>
      <c r="F781" s="126"/>
      <c r="G781" s="127"/>
      <c r="H781" s="128" t="str">
        <f t="shared" si="44"/>
        <v/>
      </c>
      <c r="I781" s="129"/>
      <c r="J781" s="130" t="s">
        <v>27</v>
      </c>
      <c r="L781" s="75">
        <f>G781*(1-'FORM-I'!$V$22/100)</f>
        <v>0</v>
      </c>
    </row>
    <row r="782" spans="2:12" hidden="1">
      <c r="B782" s="122"/>
      <c r="C782" s="123"/>
      <c r="D782" s="124"/>
      <c r="E782" s="125"/>
      <c r="F782" s="126"/>
      <c r="G782" s="127"/>
      <c r="H782" s="128" t="str">
        <f t="shared" si="44"/>
        <v/>
      </c>
      <c r="I782" s="129"/>
      <c r="J782" s="130" t="s">
        <v>27</v>
      </c>
      <c r="L782" s="75">
        <f>G782*(1-'FORM-I'!$V$22/100)</f>
        <v>0</v>
      </c>
    </row>
    <row r="783" spans="2:12" hidden="1">
      <c r="B783" s="122"/>
      <c r="C783" s="123"/>
      <c r="D783" s="124"/>
      <c r="E783" s="125"/>
      <c r="F783" s="126"/>
      <c r="G783" s="127"/>
      <c r="H783" s="128" t="str">
        <f t="shared" si="44"/>
        <v/>
      </c>
      <c r="I783" s="129"/>
      <c r="J783" s="130" t="s">
        <v>27</v>
      </c>
      <c r="L783" s="75">
        <f>G783*(1-'FORM-I'!$V$22/100)</f>
        <v>0</v>
      </c>
    </row>
    <row r="784" spans="2:12" hidden="1">
      <c r="B784" s="122"/>
      <c r="C784" s="123"/>
      <c r="D784" s="124"/>
      <c r="E784" s="125"/>
      <c r="F784" s="126"/>
      <c r="G784" s="127"/>
      <c r="H784" s="128" t="str">
        <f t="shared" si="44"/>
        <v/>
      </c>
      <c r="I784" s="129"/>
      <c r="J784" s="130" t="s">
        <v>27</v>
      </c>
      <c r="L784" s="75">
        <f>G784*(1-'FORM-I'!$V$22/100)</f>
        <v>0</v>
      </c>
    </row>
    <row r="785" spans="2:12" hidden="1">
      <c r="B785" s="122"/>
      <c r="C785" s="123"/>
      <c r="D785" s="124"/>
      <c r="E785" s="125"/>
      <c r="F785" s="126"/>
      <c r="G785" s="127"/>
      <c r="H785" s="128" t="str">
        <f t="shared" si="44"/>
        <v/>
      </c>
      <c r="I785" s="129"/>
      <c r="J785" s="130" t="s">
        <v>27</v>
      </c>
      <c r="L785" s="75">
        <f>G785*(1-'FORM-I'!$V$22/100)</f>
        <v>0</v>
      </c>
    </row>
    <row r="786" spans="2:12" hidden="1">
      <c r="B786" s="122"/>
      <c r="C786" s="123"/>
      <c r="D786" s="124"/>
      <c r="E786" s="125"/>
      <c r="F786" s="126"/>
      <c r="G786" s="127"/>
      <c r="H786" s="128" t="str">
        <f t="shared" si="44"/>
        <v/>
      </c>
      <c r="I786" s="129"/>
      <c r="J786" s="130" t="s">
        <v>27</v>
      </c>
      <c r="L786" s="75">
        <f>G786*(1-'FORM-I'!$V$22/100)</f>
        <v>0</v>
      </c>
    </row>
    <row r="787" spans="2:12" hidden="1">
      <c r="B787" s="122"/>
      <c r="C787" s="123"/>
      <c r="D787" s="124"/>
      <c r="E787" s="125"/>
      <c r="F787" s="126"/>
      <c r="G787" s="127"/>
      <c r="H787" s="128" t="str">
        <f t="shared" si="44"/>
        <v/>
      </c>
      <c r="I787" s="129"/>
      <c r="J787" s="130" t="s">
        <v>27</v>
      </c>
      <c r="L787" s="75">
        <f>G787*(1-'FORM-I'!$V$22/100)</f>
        <v>0</v>
      </c>
    </row>
    <row r="788" spans="2:12" hidden="1">
      <c r="B788" s="122"/>
      <c r="C788" s="123"/>
      <c r="D788" s="124"/>
      <c r="E788" s="125"/>
      <c r="F788" s="126"/>
      <c r="G788" s="127"/>
      <c r="H788" s="128" t="str">
        <f t="shared" si="44"/>
        <v/>
      </c>
      <c r="I788" s="129"/>
      <c r="J788" s="130" t="s">
        <v>27</v>
      </c>
      <c r="L788" s="75">
        <f>G788*(1-'FORM-I'!$V$22/100)</f>
        <v>0</v>
      </c>
    </row>
    <row r="789" spans="2:12" hidden="1">
      <c r="B789" s="122"/>
      <c r="C789" s="123"/>
      <c r="D789" s="124"/>
      <c r="E789" s="125"/>
      <c r="F789" s="126"/>
      <c r="G789" s="127"/>
      <c r="H789" s="128" t="str">
        <f t="shared" si="44"/>
        <v/>
      </c>
      <c r="I789" s="129"/>
      <c r="J789" s="130" t="s">
        <v>27</v>
      </c>
      <c r="L789" s="75">
        <f>G789*(1-'FORM-I'!$V$22/100)</f>
        <v>0</v>
      </c>
    </row>
    <row r="790" spans="2:12" hidden="1">
      <c r="B790" s="122"/>
      <c r="C790" s="123"/>
      <c r="D790" s="124"/>
      <c r="E790" s="125"/>
      <c r="F790" s="126"/>
      <c r="G790" s="127"/>
      <c r="H790" s="128" t="str">
        <f t="shared" si="44"/>
        <v/>
      </c>
      <c r="I790" s="129"/>
      <c r="J790" s="130" t="s">
        <v>27</v>
      </c>
      <c r="L790" s="75">
        <f>G790*(1-'FORM-I'!$V$22/100)</f>
        <v>0</v>
      </c>
    </row>
    <row r="791" spans="2:12" hidden="1">
      <c r="B791" s="122"/>
      <c r="C791" s="123"/>
      <c r="D791" s="124"/>
      <c r="E791" s="125"/>
      <c r="F791" s="126"/>
      <c r="G791" s="127"/>
      <c r="H791" s="128" t="str">
        <f t="shared" si="44"/>
        <v/>
      </c>
      <c r="I791" s="129"/>
      <c r="J791" s="130" t="s">
        <v>27</v>
      </c>
      <c r="L791" s="75">
        <f>G791*(1-'FORM-I'!$V$22/100)</f>
        <v>0</v>
      </c>
    </row>
    <row r="792" spans="2:12" hidden="1">
      <c r="B792" s="122"/>
      <c r="C792" s="123"/>
      <c r="D792" s="124"/>
      <c r="E792" s="125"/>
      <c r="F792" s="126"/>
      <c r="G792" s="127"/>
      <c r="H792" s="128" t="str">
        <f t="shared" si="44"/>
        <v/>
      </c>
      <c r="I792" s="129"/>
      <c r="J792" s="130" t="s">
        <v>27</v>
      </c>
      <c r="L792" s="75">
        <f>G792*(1-'FORM-I'!$V$22/100)</f>
        <v>0</v>
      </c>
    </row>
    <row r="793" spans="2:12" hidden="1">
      <c r="B793" s="122"/>
      <c r="C793" s="123"/>
      <c r="D793" s="124"/>
      <c r="E793" s="125"/>
      <c r="F793" s="126"/>
      <c r="G793" s="127"/>
      <c r="H793" s="128" t="str">
        <f t="shared" si="44"/>
        <v/>
      </c>
      <c r="I793" s="129"/>
      <c r="J793" s="130" t="s">
        <v>27</v>
      </c>
      <c r="L793" s="75">
        <f>G793*(1-'FORM-I'!$V$22/100)</f>
        <v>0</v>
      </c>
    </row>
    <row r="794" spans="2:12" hidden="1">
      <c r="B794" s="122"/>
      <c r="C794" s="123"/>
      <c r="D794" s="124"/>
      <c r="E794" s="125"/>
      <c r="F794" s="126"/>
      <c r="G794" s="127"/>
      <c r="H794" s="128" t="str">
        <f t="shared" si="44"/>
        <v/>
      </c>
      <c r="I794" s="129"/>
      <c r="J794" s="130" t="s">
        <v>27</v>
      </c>
      <c r="L794" s="75">
        <f>G794*(1-'FORM-I'!$V$22/100)</f>
        <v>0</v>
      </c>
    </row>
    <row r="795" spans="2:12" hidden="1">
      <c r="B795" s="122"/>
      <c r="C795" s="123"/>
      <c r="D795" s="124"/>
      <c r="E795" s="125"/>
      <c r="F795" s="126"/>
      <c r="G795" s="127"/>
      <c r="H795" s="128" t="str">
        <f t="shared" si="44"/>
        <v/>
      </c>
      <c r="I795" s="129"/>
      <c r="J795" s="130" t="s">
        <v>27</v>
      </c>
      <c r="L795" s="75">
        <f>G795*(1-'FORM-I'!$V$22/100)</f>
        <v>0</v>
      </c>
    </row>
    <row r="796" spans="2:12" hidden="1">
      <c r="B796" s="122"/>
      <c r="C796" s="123"/>
      <c r="D796" s="124"/>
      <c r="E796" s="125"/>
      <c r="F796" s="126"/>
      <c r="G796" s="127"/>
      <c r="H796" s="128" t="str">
        <f t="shared" si="44"/>
        <v/>
      </c>
      <c r="I796" s="129"/>
      <c r="J796" s="130" t="s">
        <v>27</v>
      </c>
      <c r="L796" s="75">
        <f>G796*(1-'FORM-I'!$V$22/100)</f>
        <v>0</v>
      </c>
    </row>
    <row r="797" spans="2:12" hidden="1">
      <c r="B797" s="122"/>
      <c r="C797" s="123"/>
      <c r="D797" s="124"/>
      <c r="E797" s="125"/>
      <c r="F797" s="126"/>
      <c r="G797" s="127"/>
      <c r="H797" s="128" t="str">
        <f t="shared" si="44"/>
        <v/>
      </c>
      <c r="I797" s="129"/>
      <c r="J797" s="130" t="s">
        <v>27</v>
      </c>
      <c r="L797" s="75">
        <f>G797*(1-'FORM-I'!$V$22/100)</f>
        <v>0</v>
      </c>
    </row>
    <row r="798" spans="2:12" hidden="1">
      <c r="B798" s="122"/>
      <c r="C798" s="123"/>
      <c r="D798" s="124"/>
      <c r="E798" s="125"/>
      <c r="F798" s="126"/>
      <c r="G798" s="127"/>
      <c r="H798" s="128" t="str">
        <f t="shared" si="44"/>
        <v/>
      </c>
      <c r="I798" s="129"/>
      <c r="J798" s="130" t="s">
        <v>27</v>
      </c>
      <c r="L798" s="75">
        <f>G798*(1-'FORM-I'!$V$22/100)</f>
        <v>0</v>
      </c>
    </row>
    <row r="799" spans="2:12" hidden="1">
      <c r="B799" s="122"/>
      <c r="C799" s="123"/>
      <c r="D799" s="124"/>
      <c r="E799" s="125"/>
      <c r="F799" s="126"/>
      <c r="G799" s="127"/>
      <c r="H799" s="128" t="str">
        <f t="shared" si="44"/>
        <v/>
      </c>
      <c r="I799" s="129"/>
      <c r="J799" s="130" t="s">
        <v>27</v>
      </c>
      <c r="L799" s="75">
        <f>G799*(1-'FORM-I'!$V$22/100)</f>
        <v>0</v>
      </c>
    </row>
    <row r="800" spans="2:12" hidden="1">
      <c r="B800" s="122"/>
      <c r="C800" s="123"/>
      <c r="D800" s="124"/>
      <c r="E800" s="125"/>
      <c r="F800" s="126"/>
      <c r="G800" s="127"/>
      <c r="H800" s="128" t="str">
        <f t="shared" si="44"/>
        <v/>
      </c>
      <c r="I800" s="129"/>
      <c r="J800" s="130" t="s">
        <v>27</v>
      </c>
      <c r="L800" s="75">
        <f>G800*(1-'FORM-I'!$V$22/100)</f>
        <v>0</v>
      </c>
    </row>
    <row r="801" spans="2:12" hidden="1">
      <c r="B801" s="122"/>
      <c r="C801" s="123"/>
      <c r="D801" s="124"/>
      <c r="E801" s="125"/>
      <c r="F801" s="126"/>
      <c r="G801" s="127"/>
      <c r="H801" s="128" t="str">
        <f t="shared" si="44"/>
        <v/>
      </c>
      <c r="I801" s="129"/>
      <c r="J801" s="130" t="s">
        <v>27</v>
      </c>
      <c r="L801" s="75">
        <f>G801*(1-'FORM-I'!$V$22/100)</f>
        <v>0</v>
      </c>
    </row>
    <row r="802" spans="2:12" hidden="1">
      <c r="B802" s="122"/>
      <c r="C802" s="123"/>
      <c r="D802" s="124"/>
      <c r="E802" s="125"/>
      <c r="F802" s="126"/>
      <c r="G802" s="127"/>
      <c r="H802" s="128" t="str">
        <f t="shared" si="44"/>
        <v/>
      </c>
      <c r="I802" s="129"/>
      <c r="J802" s="130" t="s">
        <v>27</v>
      </c>
      <c r="L802" s="75">
        <f>G802*(1-'FORM-I'!$V$22/100)</f>
        <v>0</v>
      </c>
    </row>
    <row r="803" spans="2:12" hidden="1">
      <c r="B803" s="122"/>
      <c r="C803" s="123"/>
      <c r="D803" s="124"/>
      <c r="E803" s="125"/>
      <c r="F803" s="126"/>
      <c r="G803" s="127"/>
      <c r="H803" s="128" t="str">
        <f t="shared" si="44"/>
        <v/>
      </c>
      <c r="I803" s="129"/>
      <c r="J803" s="130" t="s">
        <v>27</v>
      </c>
      <c r="L803" s="75">
        <f>G803*(1-'FORM-I'!$V$22/100)</f>
        <v>0</v>
      </c>
    </row>
    <row r="804" spans="2:12" hidden="1">
      <c r="B804" s="122"/>
      <c r="C804" s="123"/>
      <c r="D804" s="124"/>
      <c r="E804" s="125"/>
      <c r="F804" s="126"/>
      <c r="G804" s="127"/>
      <c r="H804" s="128" t="str">
        <f t="shared" si="44"/>
        <v/>
      </c>
      <c r="I804" s="129"/>
      <c r="J804" s="130" t="s">
        <v>27</v>
      </c>
      <c r="L804" s="75">
        <f>G804*(1-'FORM-I'!$V$22/100)</f>
        <v>0</v>
      </c>
    </row>
    <row r="805" spans="2:12" hidden="1">
      <c r="B805" s="122"/>
      <c r="C805" s="123"/>
      <c r="D805" s="124"/>
      <c r="E805" s="125"/>
      <c r="F805" s="126"/>
      <c r="G805" s="127"/>
      <c r="H805" s="128" t="str">
        <f t="shared" si="44"/>
        <v/>
      </c>
      <c r="I805" s="129"/>
      <c r="J805" s="130" t="s">
        <v>27</v>
      </c>
      <c r="L805" s="75">
        <f>G805*(1-'FORM-I'!$V$22/100)</f>
        <v>0</v>
      </c>
    </row>
    <row r="806" spans="2:12" hidden="1">
      <c r="B806" s="122"/>
      <c r="C806" s="123"/>
      <c r="D806" s="124"/>
      <c r="E806" s="125"/>
      <c r="F806" s="126"/>
      <c r="G806" s="127"/>
      <c r="H806" s="128" t="str">
        <f t="shared" si="44"/>
        <v/>
      </c>
      <c r="I806" s="129"/>
      <c r="J806" s="130" t="s">
        <v>27</v>
      </c>
      <c r="L806" s="75">
        <f>G806*(1-'FORM-I'!$V$22/100)</f>
        <v>0</v>
      </c>
    </row>
    <row r="807" spans="2:12" hidden="1">
      <c r="B807" s="122"/>
      <c r="C807" s="123"/>
      <c r="D807" s="124"/>
      <c r="E807" s="125"/>
      <c r="F807" s="126"/>
      <c r="G807" s="127"/>
      <c r="H807" s="128" t="str">
        <f t="shared" si="44"/>
        <v/>
      </c>
      <c r="I807" s="129"/>
      <c r="J807" s="130" t="s">
        <v>27</v>
      </c>
      <c r="L807" s="75">
        <f>G807*(1-'FORM-I'!$V$22/100)</f>
        <v>0</v>
      </c>
    </row>
    <row r="808" spans="2:12" hidden="1">
      <c r="B808" s="122"/>
      <c r="C808" s="123"/>
      <c r="D808" s="124"/>
      <c r="E808" s="125"/>
      <c r="F808" s="126"/>
      <c r="G808" s="127"/>
      <c r="H808" s="128" t="str">
        <f t="shared" si="44"/>
        <v/>
      </c>
      <c r="I808" s="129"/>
      <c r="J808" s="130" t="s">
        <v>27</v>
      </c>
      <c r="L808" s="75">
        <f>G808*(1-'FORM-I'!$V$22/100)</f>
        <v>0</v>
      </c>
    </row>
    <row r="809" spans="2:12" hidden="1">
      <c r="B809" s="122"/>
      <c r="C809" s="123"/>
      <c r="D809" s="124"/>
      <c r="E809" s="125"/>
      <c r="F809" s="126"/>
      <c r="G809" s="127"/>
      <c r="H809" s="128" t="str">
        <f t="shared" si="44"/>
        <v/>
      </c>
      <c r="I809" s="129"/>
      <c r="J809" s="130" t="s">
        <v>27</v>
      </c>
      <c r="L809" s="75">
        <f>G809*(1-'FORM-I'!$V$22/100)</f>
        <v>0</v>
      </c>
    </row>
    <row r="810" spans="2:12" hidden="1">
      <c r="B810" s="122"/>
      <c r="C810" s="123"/>
      <c r="D810" s="124"/>
      <c r="E810" s="125"/>
      <c r="F810" s="126"/>
      <c r="G810" s="127"/>
      <c r="H810" s="128" t="str">
        <f t="shared" si="44"/>
        <v/>
      </c>
      <c r="I810" s="129"/>
      <c r="J810" s="130" t="s">
        <v>27</v>
      </c>
      <c r="L810" s="75">
        <f>G810*(1-'FORM-I'!$V$22/100)</f>
        <v>0</v>
      </c>
    </row>
    <row r="811" spans="2:12" hidden="1">
      <c r="B811" s="122"/>
      <c r="C811" s="123"/>
      <c r="D811" s="124"/>
      <c r="E811" s="125"/>
      <c r="F811" s="126"/>
      <c r="G811" s="127"/>
      <c r="H811" s="128" t="str">
        <f t="shared" si="44"/>
        <v/>
      </c>
      <c r="I811" s="129"/>
      <c r="J811" s="130" t="s">
        <v>27</v>
      </c>
      <c r="L811" s="75">
        <f>G811*(1-'FORM-I'!$V$22/100)</f>
        <v>0</v>
      </c>
    </row>
    <row r="812" spans="2:12" hidden="1">
      <c r="B812" s="122"/>
      <c r="C812" s="123"/>
      <c r="D812" s="124"/>
      <c r="E812" s="125"/>
      <c r="F812" s="126"/>
      <c r="G812" s="127"/>
      <c r="H812" s="128" t="str">
        <f t="shared" si="44"/>
        <v/>
      </c>
      <c r="I812" s="129"/>
      <c r="J812" s="130" t="s">
        <v>27</v>
      </c>
      <c r="L812" s="75">
        <f>G812*(1-'FORM-I'!$V$22/100)</f>
        <v>0</v>
      </c>
    </row>
    <row r="813" spans="2:12" hidden="1">
      <c r="B813" s="122"/>
      <c r="C813" s="123"/>
      <c r="D813" s="124"/>
      <c r="E813" s="125"/>
      <c r="F813" s="126"/>
      <c r="G813" s="127"/>
      <c r="H813" s="128" t="str">
        <f t="shared" si="44"/>
        <v/>
      </c>
      <c r="I813" s="129"/>
      <c r="J813" s="130" t="s">
        <v>27</v>
      </c>
      <c r="L813" s="75">
        <f>G813*(1-'FORM-I'!$V$22/100)</f>
        <v>0</v>
      </c>
    </row>
    <row r="814" spans="2:12" hidden="1">
      <c r="B814" s="122"/>
      <c r="C814" s="123"/>
      <c r="D814" s="124"/>
      <c r="E814" s="125"/>
      <c r="F814" s="126"/>
      <c r="G814" s="127"/>
      <c r="H814" s="128" t="str">
        <f t="shared" si="44"/>
        <v/>
      </c>
      <c r="I814" s="129"/>
      <c r="J814" s="130" t="s">
        <v>27</v>
      </c>
      <c r="L814" s="75">
        <f>G814*(1-'FORM-I'!$V$22/100)</f>
        <v>0</v>
      </c>
    </row>
    <row r="815" spans="2:12" hidden="1">
      <c r="B815" s="122"/>
      <c r="C815" s="123"/>
      <c r="D815" s="124"/>
      <c r="E815" s="125"/>
      <c r="F815" s="126"/>
      <c r="G815" s="127"/>
      <c r="H815" s="128" t="str">
        <f t="shared" si="44"/>
        <v/>
      </c>
      <c r="I815" s="129"/>
      <c r="J815" s="130" t="s">
        <v>27</v>
      </c>
      <c r="L815" s="75">
        <f>G815*(1-'FORM-I'!$V$22/100)</f>
        <v>0</v>
      </c>
    </row>
    <row r="816" spans="2:12" hidden="1">
      <c r="B816" s="122"/>
      <c r="C816" s="123"/>
      <c r="D816" s="124"/>
      <c r="E816" s="125"/>
      <c r="F816" s="126"/>
      <c r="G816" s="127"/>
      <c r="H816" s="128" t="str">
        <f t="shared" si="44"/>
        <v/>
      </c>
      <c r="I816" s="129"/>
      <c r="J816" s="130" t="s">
        <v>27</v>
      </c>
      <c r="L816" s="75">
        <f>G816*(1-'FORM-I'!$V$22/100)</f>
        <v>0</v>
      </c>
    </row>
    <row r="817" spans="2:12" hidden="1">
      <c r="B817" s="122"/>
      <c r="C817" s="123"/>
      <c r="D817" s="124"/>
      <c r="E817" s="125"/>
      <c r="F817" s="126"/>
      <c r="G817" s="127"/>
      <c r="H817" s="128" t="str">
        <f t="shared" ref="H817:H880" si="45">IF(G817="","",$H$10)</f>
        <v/>
      </c>
      <c r="I817" s="129"/>
      <c r="J817" s="130" t="s">
        <v>27</v>
      </c>
      <c r="L817" s="75">
        <f>G817*(1-'FORM-I'!$V$22/100)</f>
        <v>0</v>
      </c>
    </row>
    <row r="818" spans="2:12" hidden="1">
      <c r="B818" s="122"/>
      <c r="C818" s="123"/>
      <c r="D818" s="124"/>
      <c r="E818" s="125"/>
      <c r="F818" s="126"/>
      <c r="G818" s="127"/>
      <c r="H818" s="128" t="str">
        <f t="shared" si="45"/>
        <v/>
      </c>
      <c r="I818" s="129"/>
      <c r="J818" s="130" t="s">
        <v>27</v>
      </c>
      <c r="L818" s="75">
        <f>G818*(1-'FORM-I'!$V$22/100)</f>
        <v>0</v>
      </c>
    </row>
    <row r="819" spans="2:12" hidden="1">
      <c r="B819" s="122"/>
      <c r="C819" s="123"/>
      <c r="D819" s="124"/>
      <c r="E819" s="125"/>
      <c r="F819" s="126"/>
      <c r="G819" s="127"/>
      <c r="H819" s="128" t="str">
        <f t="shared" si="45"/>
        <v/>
      </c>
      <c r="I819" s="129"/>
      <c r="J819" s="130" t="s">
        <v>27</v>
      </c>
      <c r="L819" s="75">
        <f>G819*(1-'FORM-I'!$V$22/100)</f>
        <v>0</v>
      </c>
    </row>
    <row r="820" spans="2:12" hidden="1">
      <c r="B820" s="122"/>
      <c r="C820" s="123"/>
      <c r="D820" s="124"/>
      <c r="E820" s="125"/>
      <c r="F820" s="126"/>
      <c r="G820" s="127"/>
      <c r="H820" s="128" t="str">
        <f t="shared" si="45"/>
        <v/>
      </c>
      <c r="I820" s="129"/>
      <c r="J820" s="130" t="s">
        <v>27</v>
      </c>
      <c r="L820" s="75">
        <f>G820*(1-'FORM-I'!$V$22/100)</f>
        <v>0</v>
      </c>
    </row>
    <row r="821" spans="2:12" hidden="1">
      <c r="B821" s="122"/>
      <c r="C821" s="123"/>
      <c r="D821" s="124"/>
      <c r="E821" s="125"/>
      <c r="F821" s="126"/>
      <c r="G821" s="127"/>
      <c r="H821" s="128" t="str">
        <f t="shared" si="45"/>
        <v/>
      </c>
      <c r="I821" s="129"/>
      <c r="J821" s="130" t="s">
        <v>27</v>
      </c>
      <c r="L821" s="75">
        <f>G821*(1-'FORM-I'!$V$22/100)</f>
        <v>0</v>
      </c>
    </row>
    <row r="822" spans="2:12" hidden="1">
      <c r="B822" s="122"/>
      <c r="C822" s="123"/>
      <c r="D822" s="124"/>
      <c r="E822" s="125"/>
      <c r="F822" s="126"/>
      <c r="G822" s="127"/>
      <c r="H822" s="128" t="str">
        <f t="shared" si="45"/>
        <v/>
      </c>
      <c r="I822" s="129"/>
      <c r="J822" s="130" t="s">
        <v>27</v>
      </c>
      <c r="L822" s="75">
        <f>G822*(1-'FORM-I'!$V$22/100)</f>
        <v>0</v>
      </c>
    </row>
    <row r="823" spans="2:12" hidden="1">
      <c r="B823" s="122"/>
      <c r="C823" s="123"/>
      <c r="D823" s="124"/>
      <c r="E823" s="125"/>
      <c r="F823" s="126"/>
      <c r="G823" s="127"/>
      <c r="H823" s="128" t="str">
        <f t="shared" si="45"/>
        <v/>
      </c>
      <c r="I823" s="129"/>
      <c r="J823" s="130" t="s">
        <v>27</v>
      </c>
      <c r="L823" s="75">
        <f>G823*(1-'FORM-I'!$V$22/100)</f>
        <v>0</v>
      </c>
    </row>
    <row r="824" spans="2:12" hidden="1">
      <c r="B824" s="122"/>
      <c r="C824" s="123"/>
      <c r="D824" s="124"/>
      <c r="E824" s="125"/>
      <c r="F824" s="126"/>
      <c r="G824" s="127"/>
      <c r="H824" s="128" t="str">
        <f t="shared" si="45"/>
        <v/>
      </c>
      <c r="I824" s="129"/>
      <c r="J824" s="130" t="s">
        <v>27</v>
      </c>
      <c r="L824" s="75">
        <f>G824*(1-'FORM-I'!$V$22/100)</f>
        <v>0</v>
      </c>
    </row>
    <row r="825" spans="2:12" hidden="1">
      <c r="B825" s="122"/>
      <c r="C825" s="123"/>
      <c r="D825" s="124"/>
      <c r="E825" s="125"/>
      <c r="F825" s="126"/>
      <c r="G825" s="127"/>
      <c r="H825" s="128" t="str">
        <f t="shared" si="45"/>
        <v/>
      </c>
      <c r="I825" s="129"/>
      <c r="J825" s="130" t="s">
        <v>27</v>
      </c>
      <c r="L825" s="75">
        <f>G825*(1-'FORM-I'!$V$22/100)</f>
        <v>0</v>
      </c>
    </row>
    <row r="826" spans="2:12" hidden="1">
      <c r="B826" s="122"/>
      <c r="C826" s="123"/>
      <c r="D826" s="124"/>
      <c r="E826" s="125"/>
      <c r="F826" s="126"/>
      <c r="G826" s="127"/>
      <c r="H826" s="128" t="str">
        <f t="shared" si="45"/>
        <v/>
      </c>
      <c r="I826" s="129"/>
      <c r="J826" s="130" t="s">
        <v>27</v>
      </c>
      <c r="L826" s="75">
        <f>G826*(1-'FORM-I'!$V$22/100)</f>
        <v>0</v>
      </c>
    </row>
    <row r="827" spans="2:12" hidden="1">
      <c r="B827" s="122"/>
      <c r="C827" s="123"/>
      <c r="D827" s="124"/>
      <c r="E827" s="125"/>
      <c r="F827" s="126"/>
      <c r="G827" s="127"/>
      <c r="H827" s="128" t="str">
        <f t="shared" si="45"/>
        <v/>
      </c>
      <c r="I827" s="129"/>
      <c r="J827" s="130" t="s">
        <v>27</v>
      </c>
      <c r="L827" s="75">
        <f>G827*(1-'FORM-I'!$V$22/100)</f>
        <v>0</v>
      </c>
    </row>
    <row r="828" spans="2:12" hidden="1">
      <c r="B828" s="122"/>
      <c r="C828" s="123"/>
      <c r="D828" s="124"/>
      <c r="E828" s="125"/>
      <c r="F828" s="126"/>
      <c r="G828" s="127"/>
      <c r="H828" s="128" t="str">
        <f t="shared" si="45"/>
        <v/>
      </c>
      <c r="I828" s="129"/>
      <c r="J828" s="130" t="s">
        <v>27</v>
      </c>
      <c r="L828" s="75">
        <f>G828*(1-'FORM-I'!$V$22/100)</f>
        <v>0</v>
      </c>
    </row>
    <row r="829" spans="2:12" hidden="1">
      <c r="B829" s="122"/>
      <c r="C829" s="123"/>
      <c r="D829" s="124"/>
      <c r="E829" s="125"/>
      <c r="F829" s="126"/>
      <c r="G829" s="127"/>
      <c r="H829" s="128" t="str">
        <f t="shared" si="45"/>
        <v/>
      </c>
      <c r="I829" s="129"/>
      <c r="J829" s="130" t="s">
        <v>27</v>
      </c>
      <c r="L829" s="75">
        <f>G829*(1-'FORM-I'!$V$22/100)</f>
        <v>0</v>
      </c>
    </row>
    <row r="830" spans="2:12" hidden="1">
      <c r="B830" s="122"/>
      <c r="C830" s="123"/>
      <c r="D830" s="124"/>
      <c r="E830" s="125"/>
      <c r="F830" s="126"/>
      <c r="G830" s="127"/>
      <c r="H830" s="128" t="str">
        <f t="shared" si="45"/>
        <v/>
      </c>
      <c r="I830" s="129"/>
      <c r="J830" s="130" t="s">
        <v>27</v>
      </c>
      <c r="L830" s="75">
        <f>G830*(1-'FORM-I'!$V$22/100)</f>
        <v>0</v>
      </c>
    </row>
    <row r="831" spans="2:12" hidden="1">
      <c r="B831" s="122"/>
      <c r="C831" s="123"/>
      <c r="D831" s="124"/>
      <c r="E831" s="125"/>
      <c r="F831" s="126"/>
      <c r="G831" s="127"/>
      <c r="H831" s="128" t="str">
        <f t="shared" si="45"/>
        <v/>
      </c>
      <c r="I831" s="129"/>
      <c r="J831" s="130" t="s">
        <v>27</v>
      </c>
      <c r="L831" s="75">
        <f>G831*(1-'FORM-I'!$V$22/100)</f>
        <v>0</v>
      </c>
    </row>
    <row r="832" spans="2:12" hidden="1">
      <c r="B832" s="122"/>
      <c r="C832" s="123"/>
      <c r="D832" s="124"/>
      <c r="E832" s="125"/>
      <c r="F832" s="126"/>
      <c r="G832" s="127"/>
      <c r="H832" s="128" t="str">
        <f t="shared" si="45"/>
        <v/>
      </c>
      <c r="I832" s="129"/>
      <c r="J832" s="130" t="s">
        <v>27</v>
      </c>
      <c r="L832" s="75">
        <f>G832*(1-'FORM-I'!$V$22/100)</f>
        <v>0</v>
      </c>
    </row>
    <row r="833" spans="2:12" hidden="1">
      <c r="B833" s="122"/>
      <c r="C833" s="123"/>
      <c r="D833" s="124"/>
      <c r="E833" s="125"/>
      <c r="F833" s="126"/>
      <c r="G833" s="127"/>
      <c r="H833" s="128" t="str">
        <f t="shared" si="45"/>
        <v/>
      </c>
      <c r="I833" s="129"/>
      <c r="J833" s="130" t="s">
        <v>27</v>
      </c>
      <c r="L833" s="75">
        <f>G833*(1-'FORM-I'!$V$22/100)</f>
        <v>0</v>
      </c>
    </row>
    <row r="834" spans="2:12" hidden="1">
      <c r="B834" s="122"/>
      <c r="C834" s="123"/>
      <c r="D834" s="124"/>
      <c r="E834" s="125"/>
      <c r="F834" s="126"/>
      <c r="G834" s="127"/>
      <c r="H834" s="128" t="str">
        <f t="shared" si="45"/>
        <v/>
      </c>
      <c r="I834" s="129"/>
      <c r="J834" s="130" t="s">
        <v>27</v>
      </c>
      <c r="L834" s="75">
        <f>G834*(1-'FORM-I'!$V$22/100)</f>
        <v>0</v>
      </c>
    </row>
    <row r="835" spans="2:12" hidden="1">
      <c r="B835" s="122"/>
      <c r="C835" s="123"/>
      <c r="D835" s="124"/>
      <c r="E835" s="125"/>
      <c r="F835" s="126"/>
      <c r="G835" s="127"/>
      <c r="H835" s="128" t="str">
        <f t="shared" si="45"/>
        <v/>
      </c>
      <c r="I835" s="129"/>
      <c r="J835" s="130" t="s">
        <v>27</v>
      </c>
      <c r="L835" s="75">
        <f>G835*(1-'FORM-I'!$V$22/100)</f>
        <v>0</v>
      </c>
    </row>
    <row r="836" spans="2:12" hidden="1">
      <c r="B836" s="122"/>
      <c r="C836" s="123"/>
      <c r="D836" s="124"/>
      <c r="E836" s="125"/>
      <c r="F836" s="126"/>
      <c r="G836" s="127"/>
      <c r="H836" s="128" t="str">
        <f t="shared" si="45"/>
        <v/>
      </c>
      <c r="I836" s="129"/>
      <c r="J836" s="130" t="s">
        <v>27</v>
      </c>
      <c r="L836" s="75">
        <f>G836*(1-'FORM-I'!$V$22/100)</f>
        <v>0</v>
      </c>
    </row>
    <row r="837" spans="2:12" hidden="1">
      <c r="B837" s="122"/>
      <c r="C837" s="123"/>
      <c r="D837" s="124"/>
      <c r="E837" s="125"/>
      <c r="F837" s="126"/>
      <c r="G837" s="127"/>
      <c r="H837" s="128" t="str">
        <f t="shared" si="45"/>
        <v/>
      </c>
      <c r="I837" s="129"/>
      <c r="J837" s="130" t="s">
        <v>27</v>
      </c>
      <c r="L837" s="75">
        <f>G837*(1-'FORM-I'!$V$22/100)</f>
        <v>0</v>
      </c>
    </row>
    <row r="838" spans="2:12" hidden="1">
      <c r="B838" s="122"/>
      <c r="C838" s="123"/>
      <c r="D838" s="124"/>
      <c r="E838" s="125"/>
      <c r="F838" s="126"/>
      <c r="G838" s="127"/>
      <c r="H838" s="128" t="str">
        <f t="shared" si="45"/>
        <v/>
      </c>
      <c r="I838" s="129"/>
      <c r="J838" s="130" t="s">
        <v>27</v>
      </c>
      <c r="L838" s="75">
        <f>G838*(1-'FORM-I'!$V$22/100)</f>
        <v>0</v>
      </c>
    </row>
    <row r="839" spans="2:12" hidden="1">
      <c r="B839" s="122"/>
      <c r="C839" s="123"/>
      <c r="D839" s="124"/>
      <c r="E839" s="125"/>
      <c r="F839" s="126"/>
      <c r="G839" s="127"/>
      <c r="H839" s="128" t="str">
        <f t="shared" si="45"/>
        <v/>
      </c>
      <c r="I839" s="129"/>
      <c r="J839" s="130" t="s">
        <v>27</v>
      </c>
      <c r="L839" s="75">
        <f>G839*(1-'FORM-I'!$V$22/100)</f>
        <v>0</v>
      </c>
    </row>
    <row r="840" spans="2:12" hidden="1">
      <c r="B840" s="122"/>
      <c r="C840" s="123"/>
      <c r="D840" s="124"/>
      <c r="E840" s="125"/>
      <c r="F840" s="126"/>
      <c r="G840" s="127"/>
      <c r="H840" s="128" t="str">
        <f t="shared" si="45"/>
        <v/>
      </c>
      <c r="I840" s="129"/>
      <c r="J840" s="130" t="s">
        <v>27</v>
      </c>
      <c r="L840" s="75">
        <f>G840*(1-'FORM-I'!$V$22/100)</f>
        <v>0</v>
      </c>
    </row>
    <row r="841" spans="2:12" hidden="1">
      <c r="B841" s="122"/>
      <c r="C841" s="123"/>
      <c r="D841" s="124"/>
      <c r="E841" s="125"/>
      <c r="F841" s="126"/>
      <c r="G841" s="127"/>
      <c r="H841" s="128" t="str">
        <f t="shared" si="45"/>
        <v/>
      </c>
      <c r="I841" s="129"/>
      <c r="J841" s="130" t="s">
        <v>27</v>
      </c>
      <c r="L841" s="75">
        <f>G841*(1-'FORM-I'!$V$22/100)</f>
        <v>0</v>
      </c>
    </row>
    <row r="842" spans="2:12" hidden="1">
      <c r="B842" s="122"/>
      <c r="C842" s="123"/>
      <c r="D842" s="124"/>
      <c r="E842" s="125"/>
      <c r="F842" s="126"/>
      <c r="G842" s="127"/>
      <c r="H842" s="128" t="str">
        <f t="shared" si="45"/>
        <v/>
      </c>
      <c r="I842" s="129"/>
      <c r="J842" s="130" t="s">
        <v>27</v>
      </c>
      <c r="L842" s="75">
        <f>G842*(1-'FORM-I'!$V$22/100)</f>
        <v>0</v>
      </c>
    </row>
    <row r="843" spans="2:12" hidden="1">
      <c r="B843" s="122"/>
      <c r="C843" s="123"/>
      <c r="D843" s="124"/>
      <c r="E843" s="125"/>
      <c r="F843" s="126"/>
      <c r="G843" s="127"/>
      <c r="H843" s="128" t="str">
        <f t="shared" si="45"/>
        <v/>
      </c>
      <c r="I843" s="129"/>
      <c r="J843" s="130" t="s">
        <v>27</v>
      </c>
      <c r="L843" s="75">
        <f>G843*(1-'FORM-I'!$V$22/100)</f>
        <v>0</v>
      </c>
    </row>
    <row r="844" spans="2:12" hidden="1">
      <c r="B844" s="122"/>
      <c r="C844" s="123"/>
      <c r="D844" s="124"/>
      <c r="E844" s="125"/>
      <c r="F844" s="126"/>
      <c r="G844" s="127"/>
      <c r="H844" s="128" t="str">
        <f t="shared" si="45"/>
        <v/>
      </c>
      <c r="I844" s="129"/>
      <c r="J844" s="130" t="s">
        <v>27</v>
      </c>
      <c r="L844" s="75">
        <f>G844*(1-'FORM-I'!$V$22/100)</f>
        <v>0</v>
      </c>
    </row>
    <row r="845" spans="2:12" hidden="1">
      <c r="B845" s="122"/>
      <c r="C845" s="123"/>
      <c r="D845" s="124"/>
      <c r="E845" s="125"/>
      <c r="F845" s="126"/>
      <c r="G845" s="127"/>
      <c r="H845" s="128" t="str">
        <f t="shared" si="45"/>
        <v/>
      </c>
      <c r="I845" s="129"/>
      <c r="J845" s="130" t="s">
        <v>27</v>
      </c>
      <c r="L845" s="75">
        <f>G845*(1-'FORM-I'!$V$22/100)</f>
        <v>0</v>
      </c>
    </row>
    <row r="846" spans="2:12" hidden="1">
      <c r="B846" s="122"/>
      <c r="C846" s="123"/>
      <c r="D846" s="124"/>
      <c r="E846" s="125"/>
      <c r="F846" s="126"/>
      <c r="G846" s="127"/>
      <c r="H846" s="128" t="str">
        <f t="shared" si="45"/>
        <v/>
      </c>
      <c r="I846" s="129"/>
      <c r="J846" s="130" t="s">
        <v>27</v>
      </c>
      <c r="L846" s="75">
        <f>G846*(1-'FORM-I'!$V$22/100)</f>
        <v>0</v>
      </c>
    </row>
    <row r="847" spans="2:12" hidden="1">
      <c r="B847" s="122"/>
      <c r="C847" s="123"/>
      <c r="D847" s="124"/>
      <c r="E847" s="125"/>
      <c r="F847" s="126"/>
      <c r="G847" s="127"/>
      <c r="H847" s="128" t="str">
        <f t="shared" si="45"/>
        <v/>
      </c>
      <c r="I847" s="129"/>
      <c r="J847" s="130" t="s">
        <v>27</v>
      </c>
      <c r="L847" s="75">
        <f>G847*(1-'FORM-I'!$V$22/100)</f>
        <v>0</v>
      </c>
    </row>
    <row r="848" spans="2:12" hidden="1">
      <c r="B848" s="122"/>
      <c r="C848" s="123"/>
      <c r="D848" s="124"/>
      <c r="E848" s="125"/>
      <c r="F848" s="126"/>
      <c r="G848" s="127"/>
      <c r="H848" s="128" t="str">
        <f t="shared" si="45"/>
        <v/>
      </c>
      <c r="I848" s="129"/>
      <c r="J848" s="130" t="s">
        <v>27</v>
      </c>
      <c r="L848" s="75">
        <f>G848*(1-'FORM-I'!$V$22/100)</f>
        <v>0</v>
      </c>
    </row>
    <row r="849" spans="2:12" hidden="1">
      <c r="B849" s="122"/>
      <c r="C849" s="123"/>
      <c r="D849" s="124"/>
      <c r="E849" s="125"/>
      <c r="F849" s="126"/>
      <c r="G849" s="127"/>
      <c r="H849" s="128" t="str">
        <f t="shared" si="45"/>
        <v/>
      </c>
      <c r="I849" s="129"/>
      <c r="J849" s="130" t="s">
        <v>27</v>
      </c>
      <c r="L849" s="75">
        <f>G849*(1-'FORM-I'!$V$22/100)</f>
        <v>0</v>
      </c>
    </row>
    <row r="850" spans="2:12" hidden="1">
      <c r="B850" s="122"/>
      <c r="C850" s="123"/>
      <c r="D850" s="124"/>
      <c r="E850" s="125"/>
      <c r="F850" s="126"/>
      <c r="G850" s="127"/>
      <c r="H850" s="128" t="str">
        <f t="shared" si="45"/>
        <v/>
      </c>
      <c r="I850" s="129"/>
      <c r="J850" s="130" t="s">
        <v>27</v>
      </c>
      <c r="L850" s="75">
        <f>G850*(1-'FORM-I'!$V$22/100)</f>
        <v>0</v>
      </c>
    </row>
    <row r="851" spans="2:12" hidden="1">
      <c r="B851" s="122"/>
      <c r="C851" s="123"/>
      <c r="D851" s="124"/>
      <c r="E851" s="125"/>
      <c r="F851" s="126"/>
      <c r="G851" s="127"/>
      <c r="H851" s="128" t="str">
        <f t="shared" si="45"/>
        <v/>
      </c>
      <c r="I851" s="129"/>
      <c r="J851" s="130" t="s">
        <v>27</v>
      </c>
      <c r="L851" s="75">
        <f>G851*(1-'FORM-I'!$V$22/100)</f>
        <v>0</v>
      </c>
    </row>
    <row r="852" spans="2:12" hidden="1">
      <c r="B852" s="122"/>
      <c r="C852" s="123"/>
      <c r="D852" s="124"/>
      <c r="E852" s="125"/>
      <c r="F852" s="126"/>
      <c r="G852" s="127"/>
      <c r="H852" s="128" t="str">
        <f t="shared" si="45"/>
        <v/>
      </c>
      <c r="I852" s="129"/>
      <c r="J852" s="130" t="s">
        <v>27</v>
      </c>
      <c r="L852" s="75">
        <f>G852*(1-'FORM-I'!$V$22/100)</f>
        <v>0</v>
      </c>
    </row>
    <row r="853" spans="2:12" hidden="1">
      <c r="B853" s="122"/>
      <c r="C853" s="123"/>
      <c r="D853" s="124"/>
      <c r="E853" s="125"/>
      <c r="F853" s="126"/>
      <c r="G853" s="127"/>
      <c r="H853" s="128" t="str">
        <f t="shared" si="45"/>
        <v/>
      </c>
      <c r="I853" s="129"/>
      <c r="J853" s="130" t="s">
        <v>27</v>
      </c>
      <c r="L853" s="75">
        <f>G853*(1-'FORM-I'!$V$22/100)</f>
        <v>0</v>
      </c>
    </row>
    <row r="854" spans="2:12" hidden="1">
      <c r="B854" s="122"/>
      <c r="C854" s="123"/>
      <c r="D854" s="124"/>
      <c r="E854" s="125"/>
      <c r="F854" s="126"/>
      <c r="G854" s="127"/>
      <c r="H854" s="128" t="str">
        <f t="shared" si="45"/>
        <v/>
      </c>
      <c r="I854" s="129"/>
      <c r="J854" s="130" t="s">
        <v>27</v>
      </c>
      <c r="L854" s="75">
        <f>G854*(1-'FORM-I'!$V$22/100)</f>
        <v>0</v>
      </c>
    </row>
    <row r="855" spans="2:12" hidden="1">
      <c r="B855" s="122"/>
      <c r="C855" s="123"/>
      <c r="D855" s="124"/>
      <c r="E855" s="125"/>
      <c r="F855" s="126"/>
      <c r="G855" s="127"/>
      <c r="H855" s="128" t="str">
        <f t="shared" si="45"/>
        <v/>
      </c>
      <c r="I855" s="129"/>
      <c r="J855" s="130" t="s">
        <v>27</v>
      </c>
      <c r="L855" s="75">
        <f>G855*(1-'FORM-I'!$V$22/100)</f>
        <v>0</v>
      </c>
    </row>
    <row r="856" spans="2:12" hidden="1">
      <c r="B856" s="122"/>
      <c r="C856" s="123"/>
      <c r="D856" s="124"/>
      <c r="E856" s="125"/>
      <c r="F856" s="126"/>
      <c r="G856" s="127"/>
      <c r="H856" s="128" t="str">
        <f t="shared" si="45"/>
        <v/>
      </c>
      <c r="I856" s="129"/>
      <c r="J856" s="130" t="s">
        <v>27</v>
      </c>
      <c r="L856" s="75">
        <f>G856*(1-'FORM-I'!$V$22/100)</f>
        <v>0</v>
      </c>
    </row>
    <row r="857" spans="2:12" hidden="1">
      <c r="B857" s="122"/>
      <c r="C857" s="123"/>
      <c r="D857" s="124"/>
      <c r="E857" s="125"/>
      <c r="F857" s="126"/>
      <c r="G857" s="127"/>
      <c r="H857" s="128" t="str">
        <f t="shared" si="45"/>
        <v/>
      </c>
      <c r="I857" s="129"/>
      <c r="J857" s="130" t="s">
        <v>27</v>
      </c>
      <c r="L857" s="75">
        <f>G857*(1-'FORM-I'!$V$22/100)</f>
        <v>0</v>
      </c>
    </row>
    <row r="858" spans="2:12" hidden="1">
      <c r="B858" s="122"/>
      <c r="C858" s="123"/>
      <c r="D858" s="124"/>
      <c r="E858" s="125"/>
      <c r="F858" s="126"/>
      <c r="G858" s="127"/>
      <c r="H858" s="128" t="str">
        <f t="shared" si="45"/>
        <v/>
      </c>
      <c r="I858" s="129"/>
      <c r="J858" s="130" t="s">
        <v>27</v>
      </c>
      <c r="L858" s="75">
        <f>G858*(1-'FORM-I'!$V$22/100)</f>
        <v>0</v>
      </c>
    </row>
    <row r="859" spans="2:12" hidden="1">
      <c r="B859" s="122"/>
      <c r="C859" s="123"/>
      <c r="D859" s="124"/>
      <c r="E859" s="125"/>
      <c r="F859" s="126"/>
      <c r="G859" s="127"/>
      <c r="H859" s="128" t="str">
        <f t="shared" si="45"/>
        <v/>
      </c>
      <c r="I859" s="129"/>
      <c r="J859" s="130" t="s">
        <v>27</v>
      </c>
      <c r="L859" s="75">
        <f>G859*(1-'FORM-I'!$V$22/100)</f>
        <v>0</v>
      </c>
    </row>
    <row r="860" spans="2:12" hidden="1">
      <c r="B860" s="122"/>
      <c r="C860" s="123"/>
      <c r="D860" s="124"/>
      <c r="E860" s="125"/>
      <c r="F860" s="126"/>
      <c r="G860" s="127"/>
      <c r="H860" s="128" t="str">
        <f t="shared" si="45"/>
        <v/>
      </c>
      <c r="I860" s="129"/>
      <c r="J860" s="130" t="s">
        <v>27</v>
      </c>
      <c r="L860" s="75">
        <f>G860*(1-'FORM-I'!$V$22/100)</f>
        <v>0</v>
      </c>
    </row>
    <row r="861" spans="2:12" hidden="1">
      <c r="B861" s="122"/>
      <c r="C861" s="123"/>
      <c r="D861" s="124"/>
      <c r="E861" s="125"/>
      <c r="F861" s="126"/>
      <c r="G861" s="127"/>
      <c r="H861" s="128" t="str">
        <f t="shared" si="45"/>
        <v/>
      </c>
      <c r="I861" s="129"/>
      <c r="J861" s="130" t="s">
        <v>27</v>
      </c>
      <c r="L861" s="75">
        <f>G861*(1-'FORM-I'!$V$22/100)</f>
        <v>0</v>
      </c>
    </row>
    <row r="862" spans="2:12" hidden="1">
      <c r="B862" s="122"/>
      <c r="C862" s="123"/>
      <c r="D862" s="124"/>
      <c r="E862" s="125"/>
      <c r="F862" s="126"/>
      <c r="G862" s="127"/>
      <c r="H862" s="128" t="str">
        <f t="shared" si="45"/>
        <v/>
      </c>
      <c r="I862" s="129"/>
      <c r="J862" s="130" t="s">
        <v>27</v>
      </c>
      <c r="L862" s="75">
        <f>G862*(1-'FORM-I'!$V$22/100)</f>
        <v>0</v>
      </c>
    </row>
    <row r="863" spans="2:12" hidden="1">
      <c r="B863" s="122"/>
      <c r="C863" s="123"/>
      <c r="D863" s="124"/>
      <c r="E863" s="125"/>
      <c r="F863" s="126"/>
      <c r="G863" s="127"/>
      <c r="H863" s="128" t="str">
        <f t="shared" si="45"/>
        <v/>
      </c>
      <c r="I863" s="129"/>
      <c r="J863" s="130" t="s">
        <v>27</v>
      </c>
      <c r="L863" s="75">
        <f>G863*(1-'FORM-I'!$V$22/100)</f>
        <v>0</v>
      </c>
    </row>
    <row r="864" spans="2:12" hidden="1">
      <c r="B864" s="122"/>
      <c r="C864" s="123"/>
      <c r="D864" s="124"/>
      <c r="E864" s="125"/>
      <c r="F864" s="126"/>
      <c r="G864" s="127"/>
      <c r="H864" s="128" t="str">
        <f t="shared" si="45"/>
        <v/>
      </c>
      <c r="I864" s="129"/>
      <c r="J864" s="130" t="s">
        <v>27</v>
      </c>
      <c r="L864" s="75">
        <f>G864*(1-'FORM-I'!$V$22/100)</f>
        <v>0</v>
      </c>
    </row>
    <row r="865" spans="2:12" hidden="1">
      <c r="B865" s="122"/>
      <c r="C865" s="123"/>
      <c r="D865" s="124"/>
      <c r="E865" s="125"/>
      <c r="F865" s="126"/>
      <c r="G865" s="127"/>
      <c r="H865" s="128" t="str">
        <f t="shared" si="45"/>
        <v/>
      </c>
      <c r="I865" s="129"/>
      <c r="J865" s="130" t="s">
        <v>27</v>
      </c>
      <c r="L865" s="75">
        <f>G865*(1-'FORM-I'!$V$22/100)</f>
        <v>0</v>
      </c>
    </row>
    <row r="866" spans="2:12" hidden="1">
      <c r="B866" s="122"/>
      <c r="C866" s="123"/>
      <c r="D866" s="124"/>
      <c r="E866" s="125"/>
      <c r="F866" s="126"/>
      <c r="G866" s="127"/>
      <c r="H866" s="128" t="str">
        <f t="shared" si="45"/>
        <v/>
      </c>
      <c r="I866" s="129"/>
      <c r="J866" s="130" t="s">
        <v>27</v>
      </c>
      <c r="L866" s="75">
        <f>G866*(1-'FORM-I'!$V$22/100)</f>
        <v>0</v>
      </c>
    </row>
    <row r="867" spans="2:12" hidden="1">
      <c r="B867" s="122"/>
      <c r="C867" s="123"/>
      <c r="D867" s="124"/>
      <c r="E867" s="125"/>
      <c r="F867" s="126"/>
      <c r="G867" s="127"/>
      <c r="H867" s="128" t="str">
        <f t="shared" si="45"/>
        <v/>
      </c>
      <c r="I867" s="129"/>
      <c r="J867" s="130" t="s">
        <v>27</v>
      </c>
      <c r="L867" s="75">
        <f>G867*(1-'FORM-I'!$V$22/100)</f>
        <v>0</v>
      </c>
    </row>
    <row r="868" spans="2:12" hidden="1">
      <c r="B868" s="122"/>
      <c r="C868" s="123"/>
      <c r="D868" s="124"/>
      <c r="E868" s="125"/>
      <c r="F868" s="126"/>
      <c r="G868" s="127"/>
      <c r="H868" s="128" t="str">
        <f t="shared" si="45"/>
        <v/>
      </c>
      <c r="I868" s="129"/>
      <c r="J868" s="130" t="s">
        <v>27</v>
      </c>
      <c r="L868" s="75">
        <f>G868*(1-'FORM-I'!$V$22/100)</f>
        <v>0</v>
      </c>
    </row>
    <row r="869" spans="2:12" hidden="1">
      <c r="B869" s="122"/>
      <c r="C869" s="123"/>
      <c r="D869" s="124"/>
      <c r="E869" s="125"/>
      <c r="F869" s="126"/>
      <c r="G869" s="127"/>
      <c r="H869" s="128" t="str">
        <f t="shared" si="45"/>
        <v/>
      </c>
      <c r="I869" s="129"/>
      <c r="J869" s="130" t="s">
        <v>27</v>
      </c>
      <c r="L869" s="75">
        <f>G869*(1-'FORM-I'!$V$22/100)</f>
        <v>0</v>
      </c>
    </row>
    <row r="870" spans="2:12" hidden="1">
      <c r="B870" s="122"/>
      <c r="C870" s="123"/>
      <c r="D870" s="124"/>
      <c r="E870" s="125"/>
      <c r="F870" s="126"/>
      <c r="G870" s="127"/>
      <c r="H870" s="128" t="str">
        <f t="shared" si="45"/>
        <v/>
      </c>
      <c r="I870" s="129"/>
      <c r="J870" s="130" t="s">
        <v>27</v>
      </c>
      <c r="L870" s="75">
        <f>G870*(1-'FORM-I'!$V$22/100)</f>
        <v>0</v>
      </c>
    </row>
    <row r="871" spans="2:12" hidden="1">
      <c r="B871" s="122"/>
      <c r="C871" s="123"/>
      <c r="D871" s="124"/>
      <c r="E871" s="125"/>
      <c r="F871" s="126"/>
      <c r="G871" s="127"/>
      <c r="H871" s="128" t="str">
        <f t="shared" si="45"/>
        <v/>
      </c>
      <c r="I871" s="129"/>
      <c r="J871" s="130" t="s">
        <v>27</v>
      </c>
      <c r="L871" s="75">
        <f>G871*(1-'FORM-I'!$V$22/100)</f>
        <v>0</v>
      </c>
    </row>
    <row r="872" spans="2:12" hidden="1">
      <c r="B872" s="122"/>
      <c r="C872" s="123"/>
      <c r="D872" s="124"/>
      <c r="E872" s="125"/>
      <c r="F872" s="126"/>
      <c r="G872" s="127"/>
      <c r="H872" s="128" t="str">
        <f t="shared" si="45"/>
        <v/>
      </c>
      <c r="I872" s="129"/>
      <c r="J872" s="130" t="s">
        <v>27</v>
      </c>
      <c r="L872" s="75">
        <f>G872*(1-'FORM-I'!$V$22/100)</f>
        <v>0</v>
      </c>
    </row>
    <row r="873" spans="2:12" hidden="1">
      <c r="B873" s="122"/>
      <c r="C873" s="123"/>
      <c r="D873" s="124"/>
      <c r="E873" s="125"/>
      <c r="F873" s="126"/>
      <c r="G873" s="127"/>
      <c r="H873" s="128" t="str">
        <f t="shared" si="45"/>
        <v/>
      </c>
      <c r="I873" s="129"/>
      <c r="J873" s="130" t="s">
        <v>27</v>
      </c>
      <c r="L873" s="75">
        <f>G873*(1-'FORM-I'!$V$22/100)</f>
        <v>0</v>
      </c>
    </row>
    <row r="874" spans="2:12" hidden="1">
      <c r="B874" s="122"/>
      <c r="C874" s="123"/>
      <c r="D874" s="124"/>
      <c r="E874" s="125"/>
      <c r="F874" s="126"/>
      <c r="G874" s="127"/>
      <c r="H874" s="128" t="str">
        <f t="shared" si="45"/>
        <v/>
      </c>
      <c r="I874" s="129"/>
      <c r="J874" s="130" t="s">
        <v>27</v>
      </c>
      <c r="L874" s="75">
        <f>G874*(1-'FORM-I'!$V$22/100)</f>
        <v>0</v>
      </c>
    </row>
    <row r="875" spans="2:12" hidden="1">
      <c r="B875" s="122"/>
      <c r="C875" s="123"/>
      <c r="D875" s="124"/>
      <c r="E875" s="125"/>
      <c r="F875" s="126"/>
      <c r="G875" s="127"/>
      <c r="H875" s="128" t="str">
        <f t="shared" si="45"/>
        <v/>
      </c>
      <c r="I875" s="129"/>
      <c r="J875" s="130" t="s">
        <v>27</v>
      </c>
      <c r="L875" s="75">
        <f>G875*(1-'FORM-I'!$V$22/100)</f>
        <v>0</v>
      </c>
    </row>
    <row r="876" spans="2:12" hidden="1">
      <c r="B876" s="122"/>
      <c r="C876" s="123"/>
      <c r="D876" s="124"/>
      <c r="E876" s="125"/>
      <c r="F876" s="126"/>
      <c r="G876" s="127"/>
      <c r="H876" s="128" t="str">
        <f t="shared" si="45"/>
        <v/>
      </c>
      <c r="I876" s="129"/>
      <c r="J876" s="130" t="s">
        <v>27</v>
      </c>
      <c r="L876" s="75">
        <f>G876*(1-'FORM-I'!$V$22/100)</f>
        <v>0</v>
      </c>
    </row>
    <row r="877" spans="2:12" hidden="1">
      <c r="B877" s="122"/>
      <c r="C877" s="123"/>
      <c r="D877" s="124"/>
      <c r="E877" s="125"/>
      <c r="F877" s="126"/>
      <c r="G877" s="127"/>
      <c r="H877" s="128" t="str">
        <f t="shared" si="45"/>
        <v/>
      </c>
      <c r="I877" s="129"/>
      <c r="J877" s="130" t="s">
        <v>27</v>
      </c>
      <c r="L877" s="75">
        <f>G877*(1-'FORM-I'!$V$22/100)</f>
        <v>0</v>
      </c>
    </row>
    <row r="878" spans="2:12" hidden="1">
      <c r="B878" s="122"/>
      <c r="C878" s="123"/>
      <c r="D878" s="124"/>
      <c r="E878" s="125"/>
      <c r="F878" s="126"/>
      <c r="G878" s="127"/>
      <c r="H878" s="128" t="str">
        <f t="shared" si="45"/>
        <v/>
      </c>
      <c r="I878" s="129"/>
      <c r="J878" s="130" t="s">
        <v>27</v>
      </c>
      <c r="L878" s="75">
        <f>G878*(1-'FORM-I'!$V$22/100)</f>
        <v>0</v>
      </c>
    </row>
    <row r="879" spans="2:12" hidden="1">
      <c r="B879" s="122"/>
      <c r="C879" s="123"/>
      <c r="D879" s="124"/>
      <c r="E879" s="125"/>
      <c r="F879" s="126"/>
      <c r="G879" s="127"/>
      <c r="H879" s="128" t="str">
        <f t="shared" si="45"/>
        <v/>
      </c>
      <c r="I879" s="129"/>
      <c r="J879" s="130" t="s">
        <v>27</v>
      </c>
      <c r="L879" s="75">
        <f>G879*(1-'FORM-I'!$V$22/100)</f>
        <v>0</v>
      </c>
    </row>
    <row r="880" spans="2:12" hidden="1">
      <c r="B880" s="122"/>
      <c r="C880" s="123"/>
      <c r="D880" s="124"/>
      <c r="E880" s="125"/>
      <c r="F880" s="126"/>
      <c r="G880" s="127"/>
      <c r="H880" s="128" t="str">
        <f t="shared" si="45"/>
        <v/>
      </c>
      <c r="I880" s="129"/>
      <c r="J880" s="130" t="s">
        <v>27</v>
      </c>
      <c r="L880" s="75">
        <f>G880*(1-'FORM-I'!$V$22/100)</f>
        <v>0</v>
      </c>
    </row>
    <row r="881" spans="2:12" hidden="1">
      <c r="B881" s="122"/>
      <c r="C881" s="123"/>
      <c r="D881" s="124"/>
      <c r="E881" s="125"/>
      <c r="F881" s="126"/>
      <c r="G881" s="127"/>
      <c r="H881" s="128" t="str">
        <f t="shared" ref="H881:H944" si="46">IF(G881="","",$H$10)</f>
        <v/>
      </c>
      <c r="I881" s="129"/>
      <c r="J881" s="130" t="s">
        <v>27</v>
      </c>
      <c r="L881" s="75">
        <f>G881*(1-'FORM-I'!$V$22/100)</f>
        <v>0</v>
      </c>
    </row>
    <row r="882" spans="2:12" hidden="1">
      <c r="B882" s="122"/>
      <c r="C882" s="123"/>
      <c r="D882" s="124"/>
      <c r="E882" s="125"/>
      <c r="F882" s="126"/>
      <c r="G882" s="127"/>
      <c r="H882" s="128" t="str">
        <f t="shared" si="46"/>
        <v/>
      </c>
      <c r="I882" s="129"/>
      <c r="J882" s="130" t="s">
        <v>27</v>
      </c>
      <c r="L882" s="75">
        <f>G882*(1-'FORM-I'!$V$22/100)</f>
        <v>0</v>
      </c>
    </row>
    <row r="883" spans="2:12" hidden="1">
      <c r="B883" s="122"/>
      <c r="C883" s="123"/>
      <c r="D883" s="124"/>
      <c r="E883" s="125"/>
      <c r="F883" s="126"/>
      <c r="G883" s="127"/>
      <c r="H883" s="128" t="str">
        <f t="shared" si="46"/>
        <v/>
      </c>
      <c r="I883" s="129"/>
      <c r="J883" s="130" t="s">
        <v>27</v>
      </c>
      <c r="L883" s="75">
        <f>G883*(1-'FORM-I'!$V$22/100)</f>
        <v>0</v>
      </c>
    </row>
    <row r="884" spans="2:12" hidden="1">
      <c r="B884" s="122"/>
      <c r="C884" s="123"/>
      <c r="D884" s="124"/>
      <c r="E884" s="125"/>
      <c r="F884" s="126"/>
      <c r="G884" s="127"/>
      <c r="H884" s="128" t="str">
        <f t="shared" si="46"/>
        <v/>
      </c>
      <c r="I884" s="129"/>
      <c r="J884" s="130" t="s">
        <v>27</v>
      </c>
      <c r="L884" s="75">
        <f>G884*(1-'FORM-I'!$V$22/100)</f>
        <v>0</v>
      </c>
    </row>
    <row r="885" spans="2:12" hidden="1">
      <c r="B885" s="122"/>
      <c r="C885" s="123"/>
      <c r="D885" s="124"/>
      <c r="E885" s="125"/>
      <c r="F885" s="126"/>
      <c r="G885" s="127"/>
      <c r="H885" s="128" t="str">
        <f t="shared" si="46"/>
        <v/>
      </c>
      <c r="I885" s="129"/>
      <c r="J885" s="130" t="s">
        <v>27</v>
      </c>
      <c r="L885" s="75">
        <f>G885*(1-'FORM-I'!$V$22/100)</f>
        <v>0</v>
      </c>
    </row>
    <row r="886" spans="2:12" hidden="1">
      <c r="B886" s="122"/>
      <c r="C886" s="123"/>
      <c r="D886" s="124"/>
      <c r="E886" s="125"/>
      <c r="F886" s="126"/>
      <c r="G886" s="127"/>
      <c r="H886" s="128" t="str">
        <f t="shared" si="46"/>
        <v/>
      </c>
      <c r="I886" s="129"/>
      <c r="J886" s="130" t="s">
        <v>27</v>
      </c>
      <c r="L886" s="75">
        <f>G886*(1-'FORM-I'!$V$22/100)</f>
        <v>0</v>
      </c>
    </row>
    <row r="887" spans="2:12" hidden="1">
      <c r="B887" s="122"/>
      <c r="C887" s="123"/>
      <c r="D887" s="124"/>
      <c r="E887" s="125"/>
      <c r="F887" s="126"/>
      <c r="G887" s="127"/>
      <c r="H887" s="128" t="str">
        <f t="shared" si="46"/>
        <v/>
      </c>
      <c r="I887" s="129"/>
      <c r="J887" s="130" t="s">
        <v>27</v>
      </c>
      <c r="L887" s="75">
        <f>G887*(1-'FORM-I'!$V$22/100)</f>
        <v>0</v>
      </c>
    </row>
    <row r="888" spans="2:12" hidden="1">
      <c r="B888" s="122"/>
      <c r="C888" s="123"/>
      <c r="D888" s="124"/>
      <c r="E888" s="125"/>
      <c r="F888" s="126"/>
      <c r="G888" s="127"/>
      <c r="H888" s="128" t="str">
        <f t="shared" si="46"/>
        <v/>
      </c>
      <c r="I888" s="129"/>
      <c r="J888" s="130" t="s">
        <v>27</v>
      </c>
      <c r="L888" s="75">
        <f>G888*(1-'FORM-I'!$V$22/100)</f>
        <v>0</v>
      </c>
    </row>
    <row r="889" spans="2:12" hidden="1">
      <c r="B889" s="122"/>
      <c r="C889" s="123"/>
      <c r="D889" s="124"/>
      <c r="E889" s="125"/>
      <c r="F889" s="126"/>
      <c r="G889" s="127"/>
      <c r="H889" s="128" t="str">
        <f t="shared" si="46"/>
        <v/>
      </c>
      <c r="I889" s="129"/>
      <c r="J889" s="130" t="s">
        <v>27</v>
      </c>
      <c r="L889" s="75">
        <f>G889*(1-'FORM-I'!$V$22/100)</f>
        <v>0</v>
      </c>
    </row>
    <row r="890" spans="2:12" hidden="1">
      <c r="B890" s="122"/>
      <c r="C890" s="123"/>
      <c r="D890" s="124"/>
      <c r="E890" s="125"/>
      <c r="F890" s="126"/>
      <c r="G890" s="127"/>
      <c r="H890" s="128" t="str">
        <f t="shared" si="46"/>
        <v/>
      </c>
      <c r="I890" s="129"/>
      <c r="J890" s="130" t="s">
        <v>27</v>
      </c>
      <c r="L890" s="75">
        <f>G890*(1-'FORM-I'!$V$22/100)</f>
        <v>0</v>
      </c>
    </row>
    <row r="891" spans="2:12" hidden="1">
      <c r="B891" s="122"/>
      <c r="C891" s="123"/>
      <c r="D891" s="124"/>
      <c r="E891" s="125"/>
      <c r="F891" s="126"/>
      <c r="G891" s="127"/>
      <c r="H891" s="128" t="str">
        <f t="shared" si="46"/>
        <v/>
      </c>
      <c r="I891" s="129"/>
      <c r="J891" s="130" t="s">
        <v>27</v>
      </c>
      <c r="L891" s="75">
        <f>G891*(1-'FORM-I'!$V$22/100)</f>
        <v>0</v>
      </c>
    </row>
    <row r="892" spans="2:12" hidden="1">
      <c r="B892" s="122"/>
      <c r="C892" s="123"/>
      <c r="D892" s="124"/>
      <c r="E892" s="125"/>
      <c r="F892" s="126"/>
      <c r="G892" s="127"/>
      <c r="H892" s="128" t="str">
        <f t="shared" si="46"/>
        <v/>
      </c>
      <c r="I892" s="129"/>
      <c r="J892" s="130" t="s">
        <v>27</v>
      </c>
      <c r="L892" s="75">
        <f>G892*(1-'FORM-I'!$V$22/100)</f>
        <v>0</v>
      </c>
    </row>
    <row r="893" spans="2:12" hidden="1">
      <c r="B893" s="122"/>
      <c r="C893" s="123"/>
      <c r="D893" s="124"/>
      <c r="E893" s="125"/>
      <c r="F893" s="126"/>
      <c r="G893" s="127"/>
      <c r="H893" s="128" t="str">
        <f t="shared" si="46"/>
        <v/>
      </c>
      <c r="I893" s="129"/>
      <c r="J893" s="130" t="s">
        <v>27</v>
      </c>
      <c r="L893" s="75">
        <f>G893*(1-'FORM-I'!$V$22/100)</f>
        <v>0</v>
      </c>
    </row>
    <row r="894" spans="2:12" hidden="1">
      <c r="B894" s="122"/>
      <c r="C894" s="123"/>
      <c r="D894" s="124"/>
      <c r="E894" s="125"/>
      <c r="F894" s="126"/>
      <c r="G894" s="127"/>
      <c r="H894" s="128" t="str">
        <f t="shared" si="46"/>
        <v/>
      </c>
      <c r="I894" s="129"/>
      <c r="J894" s="130" t="s">
        <v>27</v>
      </c>
      <c r="L894" s="75">
        <f>G894*(1-'FORM-I'!$V$22/100)</f>
        <v>0</v>
      </c>
    </row>
    <row r="895" spans="2:12" hidden="1">
      <c r="B895" s="122"/>
      <c r="C895" s="123"/>
      <c r="D895" s="124"/>
      <c r="E895" s="125"/>
      <c r="F895" s="126"/>
      <c r="G895" s="127"/>
      <c r="H895" s="128" t="str">
        <f t="shared" si="46"/>
        <v/>
      </c>
      <c r="I895" s="129"/>
      <c r="J895" s="130" t="s">
        <v>27</v>
      </c>
      <c r="L895" s="75">
        <f>G895*(1-'FORM-I'!$V$22/100)</f>
        <v>0</v>
      </c>
    </row>
    <row r="896" spans="2:12" hidden="1">
      <c r="B896" s="122"/>
      <c r="C896" s="123"/>
      <c r="D896" s="124"/>
      <c r="E896" s="125"/>
      <c r="F896" s="126"/>
      <c r="G896" s="127"/>
      <c r="H896" s="128" t="str">
        <f t="shared" si="46"/>
        <v/>
      </c>
      <c r="I896" s="129"/>
      <c r="J896" s="130" t="s">
        <v>27</v>
      </c>
      <c r="L896" s="75">
        <f>G896*(1-'FORM-I'!$V$22/100)</f>
        <v>0</v>
      </c>
    </row>
    <row r="897" spans="2:12" hidden="1">
      <c r="B897" s="122"/>
      <c r="C897" s="123"/>
      <c r="D897" s="124"/>
      <c r="E897" s="125"/>
      <c r="F897" s="126"/>
      <c r="G897" s="127"/>
      <c r="H897" s="128" t="str">
        <f t="shared" si="46"/>
        <v/>
      </c>
      <c r="I897" s="129"/>
      <c r="J897" s="130" t="s">
        <v>27</v>
      </c>
      <c r="L897" s="75">
        <f>G897*(1-'FORM-I'!$V$22/100)</f>
        <v>0</v>
      </c>
    </row>
    <row r="898" spans="2:12" hidden="1">
      <c r="B898" s="122"/>
      <c r="C898" s="123"/>
      <c r="D898" s="124"/>
      <c r="E898" s="125"/>
      <c r="F898" s="126"/>
      <c r="G898" s="127"/>
      <c r="H898" s="128" t="str">
        <f t="shared" si="46"/>
        <v/>
      </c>
      <c r="I898" s="129"/>
      <c r="J898" s="130" t="s">
        <v>27</v>
      </c>
      <c r="L898" s="75">
        <f>G898*(1-'FORM-I'!$V$22/100)</f>
        <v>0</v>
      </c>
    </row>
    <row r="899" spans="2:12" hidden="1">
      <c r="B899" s="122"/>
      <c r="C899" s="123"/>
      <c r="D899" s="124"/>
      <c r="E899" s="125"/>
      <c r="F899" s="126"/>
      <c r="G899" s="127"/>
      <c r="H899" s="128" t="str">
        <f t="shared" si="46"/>
        <v/>
      </c>
      <c r="I899" s="129"/>
      <c r="J899" s="130" t="s">
        <v>27</v>
      </c>
      <c r="L899" s="75">
        <f>G899*(1-'FORM-I'!$V$22/100)</f>
        <v>0</v>
      </c>
    </row>
    <row r="900" spans="2:12" hidden="1">
      <c r="B900" s="122"/>
      <c r="C900" s="123"/>
      <c r="D900" s="124"/>
      <c r="E900" s="125"/>
      <c r="F900" s="126"/>
      <c r="G900" s="127"/>
      <c r="H900" s="128" t="str">
        <f t="shared" si="46"/>
        <v/>
      </c>
      <c r="I900" s="129"/>
      <c r="J900" s="130" t="s">
        <v>27</v>
      </c>
      <c r="L900" s="75">
        <f>G900*(1-'FORM-I'!$V$22/100)</f>
        <v>0</v>
      </c>
    </row>
    <row r="901" spans="2:12" hidden="1">
      <c r="B901" s="122"/>
      <c r="C901" s="123"/>
      <c r="D901" s="124"/>
      <c r="E901" s="125"/>
      <c r="F901" s="126"/>
      <c r="G901" s="127"/>
      <c r="H901" s="128" t="str">
        <f t="shared" si="46"/>
        <v/>
      </c>
      <c r="I901" s="129"/>
      <c r="J901" s="130" t="s">
        <v>27</v>
      </c>
      <c r="L901" s="75">
        <f>G901*(1-'FORM-I'!$V$22/100)</f>
        <v>0</v>
      </c>
    </row>
    <row r="902" spans="2:12" hidden="1">
      <c r="B902" s="122"/>
      <c r="C902" s="123"/>
      <c r="D902" s="124"/>
      <c r="E902" s="125"/>
      <c r="F902" s="126"/>
      <c r="G902" s="127"/>
      <c r="H902" s="128" t="str">
        <f t="shared" si="46"/>
        <v/>
      </c>
      <c r="I902" s="129"/>
      <c r="J902" s="130" t="s">
        <v>27</v>
      </c>
      <c r="L902" s="75">
        <f>G902*(1-'FORM-I'!$V$22/100)</f>
        <v>0</v>
      </c>
    </row>
    <row r="903" spans="2:12" hidden="1">
      <c r="B903" s="122"/>
      <c r="C903" s="123"/>
      <c r="D903" s="124"/>
      <c r="E903" s="125"/>
      <c r="F903" s="126"/>
      <c r="G903" s="127"/>
      <c r="H903" s="128" t="str">
        <f t="shared" si="46"/>
        <v/>
      </c>
      <c r="I903" s="129"/>
      <c r="J903" s="130" t="s">
        <v>27</v>
      </c>
      <c r="L903" s="75">
        <f>G903*(1-'FORM-I'!$V$22/100)</f>
        <v>0</v>
      </c>
    </row>
    <row r="904" spans="2:12" hidden="1">
      <c r="B904" s="122"/>
      <c r="C904" s="123"/>
      <c r="D904" s="124"/>
      <c r="E904" s="125"/>
      <c r="F904" s="126"/>
      <c r="G904" s="127"/>
      <c r="H904" s="128" t="str">
        <f t="shared" si="46"/>
        <v/>
      </c>
      <c r="I904" s="129"/>
      <c r="J904" s="130" t="s">
        <v>27</v>
      </c>
      <c r="L904" s="75">
        <f>G904*(1-'FORM-I'!$V$22/100)</f>
        <v>0</v>
      </c>
    </row>
    <row r="905" spans="2:12" hidden="1">
      <c r="B905" s="122"/>
      <c r="C905" s="123"/>
      <c r="D905" s="124"/>
      <c r="E905" s="125"/>
      <c r="F905" s="126"/>
      <c r="G905" s="127"/>
      <c r="H905" s="128" t="str">
        <f t="shared" si="46"/>
        <v/>
      </c>
      <c r="I905" s="129"/>
      <c r="J905" s="130" t="s">
        <v>27</v>
      </c>
      <c r="L905" s="75">
        <f>G905*(1-'FORM-I'!$V$22/100)</f>
        <v>0</v>
      </c>
    </row>
    <row r="906" spans="2:12" hidden="1">
      <c r="B906" s="122"/>
      <c r="C906" s="123"/>
      <c r="D906" s="124"/>
      <c r="E906" s="125"/>
      <c r="F906" s="126"/>
      <c r="G906" s="127"/>
      <c r="H906" s="128" t="str">
        <f t="shared" si="46"/>
        <v/>
      </c>
      <c r="I906" s="129"/>
      <c r="J906" s="130" t="s">
        <v>27</v>
      </c>
      <c r="L906" s="75">
        <f>G906*(1-'FORM-I'!$V$22/100)</f>
        <v>0</v>
      </c>
    </row>
    <row r="907" spans="2:12" hidden="1">
      <c r="B907" s="122"/>
      <c r="C907" s="123"/>
      <c r="D907" s="124"/>
      <c r="E907" s="125"/>
      <c r="F907" s="126"/>
      <c r="G907" s="127"/>
      <c r="H907" s="128" t="str">
        <f t="shared" si="46"/>
        <v/>
      </c>
      <c r="I907" s="129"/>
      <c r="J907" s="130" t="s">
        <v>27</v>
      </c>
      <c r="L907" s="75">
        <f>G907*(1-'FORM-I'!$V$22/100)</f>
        <v>0</v>
      </c>
    </row>
    <row r="908" spans="2:12" hidden="1">
      <c r="B908" s="122"/>
      <c r="C908" s="123"/>
      <c r="D908" s="124"/>
      <c r="E908" s="125"/>
      <c r="F908" s="126"/>
      <c r="G908" s="127"/>
      <c r="H908" s="128" t="str">
        <f t="shared" si="46"/>
        <v/>
      </c>
      <c r="I908" s="129"/>
      <c r="J908" s="130" t="s">
        <v>27</v>
      </c>
      <c r="L908" s="75">
        <f>G908*(1-'FORM-I'!$V$22/100)</f>
        <v>0</v>
      </c>
    </row>
    <row r="909" spans="2:12" hidden="1">
      <c r="B909" s="122"/>
      <c r="C909" s="123"/>
      <c r="D909" s="124"/>
      <c r="E909" s="125"/>
      <c r="F909" s="126"/>
      <c r="G909" s="127"/>
      <c r="H909" s="128" t="str">
        <f t="shared" si="46"/>
        <v/>
      </c>
      <c r="I909" s="129"/>
      <c r="J909" s="130" t="s">
        <v>27</v>
      </c>
      <c r="L909" s="75">
        <f>G909*(1-'FORM-I'!$V$22/100)</f>
        <v>0</v>
      </c>
    </row>
    <row r="910" spans="2:12" hidden="1">
      <c r="B910" s="122"/>
      <c r="C910" s="123"/>
      <c r="D910" s="124"/>
      <c r="E910" s="125"/>
      <c r="F910" s="126"/>
      <c r="G910" s="127"/>
      <c r="H910" s="128" t="str">
        <f t="shared" si="46"/>
        <v/>
      </c>
      <c r="I910" s="129"/>
      <c r="J910" s="130" t="s">
        <v>27</v>
      </c>
      <c r="L910" s="75">
        <f>G910*(1-'FORM-I'!$V$22/100)</f>
        <v>0</v>
      </c>
    </row>
    <row r="911" spans="2:12" hidden="1">
      <c r="B911" s="122"/>
      <c r="C911" s="123"/>
      <c r="D911" s="124"/>
      <c r="E911" s="125"/>
      <c r="F911" s="126"/>
      <c r="G911" s="127"/>
      <c r="H911" s="128" t="str">
        <f t="shared" si="46"/>
        <v/>
      </c>
      <c r="I911" s="129"/>
      <c r="J911" s="130" t="s">
        <v>27</v>
      </c>
      <c r="L911" s="75">
        <f>G911*(1-'FORM-I'!$V$22/100)</f>
        <v>0</v>
      </c>
    </row>
    <row r="912" spans="2:12" hidden="1">
      <c r="B912" s="122"/>
      <c r="C912" s="123"/>
      <c r="D912" s="124"/>
      <c r="E912" s="125"/>
      <c r="F912" s="126"/>
      <c r="G912" s="127"/>
      <c r="H912" s="128" t="str">
        <f t="shared" si="46"/>
        <v/>
      </c>
      <c r="I912" s="129"/>
      <c r="J912" s="130" t="s">
        <v>27</v>
      </c>
      <c r="L912" s="75">
        <f>G912*(1-'FORM-I'!$V$22/100)</f>
        <v>0</v>
      </c>
    </row>
    <row r="913" spans="2:12" hidden="1">
      <c r="B913" s="122"/>
      <c r="C913" s="123"/>
      <c r="D913" s="124"/>
      <c r="E913" s="125"/>
      <c r="F913" s="126"/>
      <c r="G913" s="127"/>
      <c r="H913" s="128" t="str">
        <f t="shared" si="46"/>
        <v/>
      </c>
      <c r="I913" s="129"/>
      <c r="J913" s="130" t="s">
        <v>27</v>
      </c>
      <c r="L913" s="75">
        <f>G913*(1-'FORM-I'!$V$22/100)</f>
        <v>0</v>
      </c>
    </row>
    <row r="914" spans="2:12" hidden="1">
      <c r="B914" s="122"/>
      <c r="C914" s="123"/>
      <c r="D914" s="124"/>
      <c r="E914" s="125"/>
      <c r="F914" s="126"/>
      <c r="G914" s="127"/>
      <c r="H914" s="128" t="str">
        <f t="shared" si="46"/>
        <v/>
      </c>
      <c r="I914" s="129"/>
      <c r="J914" s="130" t="s">
        <v>27</v>
      </c>
      <c r="L914" s="75">
        <f>G914*(1-'FORM-I'!$V$22/100)</f>
        <v>0</v>
      </c>
    </row>
    <row r="915" spans="2:12" hidden="1">
      <c r="B915" s="122"/>
      <c r="C915" s="123"/>
      <c r="D915" s="124"/>
      <c r="E915" s="125"/>
      <c r="F915" s="126"/>
      <c r="G915" s="127"/>
      <c r="H915" s="128" t="str">
        <f t="shared" si="46"/>
        <v/>
      </c>
      <c r="I915" s="129"/>
      <c r="J915" s="130" t="s">
        <v>27</v>
      </c>
      <c r="L915" s="75">
        <f>G915*(1-'FORM-I'!$V$22/100)</f>
        <v>0</v>
      </c>
    </row>
    <row r="916" spans="2:12" hidden="1">
      <c r="B916" s="122"/>
      <c r="C916" s="123"/>
      <c r="D916" s="124"/>
      <c r="E916" s="125"/>
      <c r="F916" s="126"/>
      <c r="G916" s="127"/>
      <c r="H916" s="128" t="str">
        <f t="shared" si="46"/>
        <v/>
      </c>
      <c r="I916" s="129"/>
      <c r="J916" s="130" t="s">
        <v>27</v>
      </c>
      <c r="L916" s="75">
        <f>G916*(1-'FORM-I'!$V$22/100)</f>
        <v>0</v>
      </c>
    </row>
    <row r="917" spans="2:12" hidden="1">
      <c r="B917" s="122"/>
      <c r="C917" s="123"/>
      <c r="D917" s="124"/>
      <c r="E917" s="125"/>
      <c r="F917" s="126"/>
      <c r="G917" s="127"/>
      <c r="H917" s="128" t="str">
        <f t="shared" si="46"/>
        <v/>
      </c>
      <c r="I917" s="129"/>
      <c r="J917" s="130" t="s">
        <v>27</v>
      </c>
      <c r="L917" s="75">
        <f>G917*(1-'FORM-I'!$V$22/100)</f>
        <v>0</v>
      </c>
    </row>
    <row r="918" spans="2:12" hidden="1">
      <c r="B918" s="122"/>
      <c r="C918" s="123"/>
      <c r="D918" s="124"/>
      <c r="E918" s="125"/>
      <c r="F918" s="126"/>
      <c r="G918" s="127"/>
      <c r="H918" s="128" t="str">
        <f t="shared" si="46"/>
        <v/>
      </c>
      <c r="I918" s="129"/>
      <c r="J918" s="130" t="s">
        <v>27</v>
      </c>
      <c r="L918" s="75">
        <f>G918*(1-'FORM-I'!$V$22/100)</f>
        <v>0</v>
      </c>
    </row>
    <row r="919" spans="2:12" hidden="1">
      <c r="B919" s="122"/>
      <c r="C919" s="123"/>
      <c r="D919" s="124"/>
      <c r="E919" s="125"/>
      <c r="F919" s="126"/>
      <c r="G919" s="127"/>
      <c r="H919" s="128" t="str">
        <f t="shared" si="46"/>
        <v/>
      </c>
      <c r="I919" s="129"/>
      <c r="J919" s="130" t="s">
        <v>27</v>
      </c>
      <c r="L919" s="75">
        <f>G919*(1-'FORM-I'!$V$22/100)</f>
        <v>0</v>
      </c>
    </row>
    <row r="920" spans="2:12" hidden="1">
      <c r="B920" s="122"/>
      <c r="C920" s="123"/>
      <c r="D920" s="124"/>
      <c r="E920" s="125"/>
      <c r="F920" s="126"/>
      <c r="G920" s="127"/>
      <c r="H920" s="128" t="str">
        <f t="shared" si="46"/>
        <v/>
      </c>
      <c r="I920" s="129"/>
      <c r="J920" s="130" t="s">
        <v>27</v>
      </c>
      <c r="L920" s="75">
        <f>G920*(1-'FORM-I'!$V$22/100)</f>
        <v>0</v>
      </c>
    </row>
    <row r="921" spans="2:12" hidden="1">
      <c r="B921" s="122"/>
      <c r="C921" s="123"/>
      <c r="D921" s="124"/>
      <c r="E921" s="125"/>
      <c r="F921" s="126"/>
      <c r="G921" s="127"/>
      <c r="H921" s="128" t="str">
        <f t="shared" si="46"/>
        <v/>
      </c>
      <c r="I921" s="129"/>
      <c r="J921" s="130" t="s">
        <v>27</v>
      </c>
      <c r="L921" s="75">
        <f>G921*(1-'FORM-I'!$V$22/100)</f>
        <v>0</v>
      </c>
    </row>
    <row r="922" spans="2:12" hidden="1">
      <c r="B922" s="122"/>
      <c r="C922" s="123"/>
      <c r="D922" s="124"/>
      <c r="E922" s="125"/>
      <c r="F922" s="126"/>
      <c r="G922" s="127"/>
      <c r="H922" s="128" t="str">
        <f t="shared" si="46"/>
        <v/>
      </c>
      <c r="I922" s="129"/>
      <c r="J922" s="130" t="s">
        <v>27</v>
      </c>
      <c r="L922" s="75">
        <f>G922*(1-'FORM-I'!$V$22/100)</f>
        <v>0</v>
      </c>
    </row>
    <row r="923" spans="2:12" hidden="1">
      <c r="B923" s="122"/>
      <c r="C923" s="123"/>
      <c r="D923" s="124"/>
      <c r="E923" s="125"/>
      <c r="F923" s="126"/>
      <c r="G923" s="127"/>
      <c r="H923" s="128" t="str">
        <f t="shared" si="46"/>
        <v/>
      </c>
      <c r="I923" s="129"/>
      <c r="J923" s="130" t="s">
        <v>27</v>
      </c>
      <c r="L923" s="75">
        <f>G923*(1-'FORM-I'!$V$22/100)</f>
        <v>0</v>
      </c>
    </row>
    <row r="924" spans="2:12" hidden="1">
      <c r="B924" s="122"/>
      <c r="C924" s="123"/>
      <c r="D924" s="124"/>
      <c r="E924" s="125"/>
      <c r="F924" s="126"/>
      <c r="G924" s="127"/>
      <c r="H924" s="128" t="str">
        <f t="shared" si="46"/>
        <v/>
      </c>
      <c r="I924" s="129"/>
      <c r="J924" s="130" t="s">
        <v>27</v>
      </c>
      <c r="L924" s="75">
        <f>G924*(1-'FORM-I'!$V$22/100)</f>
        <v>0</v>
      </c>
    </row>
    <row r="925" spans="2:12" hidden="1">
      <c r="B925" s="122"/>
      <c r="C925" s="123"/>
      <c r="D925" s="124"/>
      <c r="E925" s="125"/>
      <c r="F925" s="126"/>
      <c r="G925" s="127"/>
      <c r="H925" s="128" t="str">
        <f t="shared" si="46"/>
        <v/>
      </c>
      <c r="I925" s="129"/>
      <c r="J925" s="130" t="s">
        <v>27</v>
      </c>
      <c r="L925" s="75">
        <f>G925*(1-'FORM-I'!$V$22/100)</f>
        <v>0</v>
      </c>
    </row>
    <row r="926" spans="2:12" hidden="1">
      <c r="B926" s="122"/>
      <c r="C926" s="123"/>
      <c r="D926" s="124"/>
      <c r="E926" s="125"/>
      <c r="F926" s="126"/>
      <c r="G926" s="127"/>
      <c r="H926" s="128" t="str">
        <f t="shared" si="46"/>
        <v/>
      </c>
      <c r="I926" s="129"/>
      <c r="J926" s="130" t="s">
        <v>27</v>
      </c>
      <c r="L926" s="75">
        <f>G926*(1-'FORM-I'!$V$22/100)</f>
        <v>0</v>
      </c>
    </row>
    <row r="927" spans="2:12" hidden="1">
      <c r="B927" s="122"/>
      <c r="C927" s="123"/>
      <c r="D927" s="124"/>
      <c r="E927" s="125"/>
      <c r="F927" s="126"/>
      <c r="G927" s="127"/>
      <c r="H927" s="128" t="str">
        <f t="shared" si="46"/>
        <v/>
      </c>
      <c r="I927" s="129"/>
      <c r="J927" s="130" t="s">
        <v>27</v>
      </c>
      <c r="L927" s="75">
        <f>G927*(1-'FORM-I'!$V$22/100)</f>
        <v>0</v>
      </c>
    </row>
    <row r="928" spans="2:12" hidden="1">
      <c r="B928" s="122"/>
      <c r="C928" s="123"/>
      <c r="D928" s="124"/>
      <c r="E928" s="125"/>
      <c r="F928" s="126"/>
      <c r="G928" s="127"/>
      <c r="H928" s="128" t="str">
        <f t="shared" si="46"/>
        <v/>
      </c>
      <c r="I928" s="129"/>
      <c r="J928" s="130" t="s">
        <v>27</v>
      </c>
      <c r="L928" s="75">
        <f>G928*(1-'FORM-I'!$V$22/100)</f>
        <v>0</v>
      </c>
    </row>
    <row r="929" spans="2:12" hidden="1">
      <c r="B929" s="122"/>
      <c r="C929" s="123"/>
      <c r="D929" s="124"/>
      <c r="E929" s="125"/>
      <c r="F929" s="126"/>
      <c r="G929" s="127"/>
      <c r="H929" s="128" t="str">
        <f t="shared" si="46"/>
        <v/>
      </c>
      <c r="I929" s="129"/>
      <c r="J929" s="130" t="s">
        <v>27</v>
      </c>
      <c r="L929" s="75">
        <f>G929*(1-'FORM-I'!$V$22/100)</f>
        <v>0</v>
      </c>
    </row>
    <row r="930" spans="2:12" hidden="1">
      <c r="B930" s="122"/>
      <c r="C930" s="123"/>
      <c r="D930" s="124"/>
      <c r="E930" s="125"/>
      <c r="F930" s="126"/>
      <c r="G930" s="127"/>
      <c r="H930" s="128" t="str">
        <f t="shared" si="46"/>
        <v/>
      </c>
      <c r="I930" s="129"/>
      <c r="J930" s="130" t="s">
        <v>27</v>
      </c>
      <c r="L930" s="75">
        <f>G930*(1-'FORM-I'!$V$22/100)</f>
        <v>0</v>
      </c>
    </row>
    <row r="931" spans="2:12" hidden="1">
      <c r="B931" s="122"/>
      <c r="C931" s="123"/>
      <c r="D931" s="124"/>
      <c r="E931" s="125"/>
      <c r="F931" s="126"/>
      <c r="G931" s="127"/>
      <c r="H931" s="128" t="str">
        <f t="shared" si="46"/>
        <v/>
      </c>
      <c r="I931" s="129"/>
      <c r="J931" s="130" t="s">
        <v>27</v>
      </c>
      <c r="L931" s="75">
        <f>G931*(1-'FORM-I'!$V$22/100)</f>
        <v>0</v>
      </c>
    </row>
    <row r="932" spans="2:12" hidden="1">
      <c r="B932" s="122"/>
      <c r="C932" s="123"/>
      <c r="D932" s="124"/>
      <c r="E932" s="125"/>
      <c r="F932" s="126"/>
      <c r="G932" s="127"/>
      <c r="H932" s="128" t="str">
        <f t="shared" si="46"/>
        <v/>
      </c>
      <c r="I932" s="129"/>
      <c r="J932" s="130" t="s">
        <v>27</v>
      </c>
      <c r="L932" s="75">
        <f>G932*(1-'FORM-I'!$V$22/100)</f>
        <v>0</v>
      </c>
    </row>
    <row r="933" spans="2:12" hidden="1">
      <c r="B933" s="122"/>
      <c r="C933" s="123"/>
      <c r="D933" s="124"/>
      <c r="E933" s="125"/>
      <c r="F933" s="126"/>
      <c r="G933" s="127"/>
      <c r="H933" s="128" t="str">
        <f t="shared" si="46"/>
        <v/>
      </c>
      <c r="I933" s="129"/>
      <c r="J933" s="130" t="s">
        <v>27</v>
      </c>
      <c r="L933" s="75">
        <f>G933*(1-'FORM-I'!$V$22/100)</f>
        <v>0</v>
      </c>
    </row>
    <row r="934" spans="2:12" hidden="1">
      <c r="B934" s="122"/>
      <c r="C934" s="123"/>
      <c r="D934" s="124"/>
      <c r="E934" s="125"/>
      <c r="F934" s="126"/>
      <c r="G934" s="127"/>
      <c r="H934" s="128" t="str">
        <f t="shared" si="46"/>
        <v/>
      </c>
      <c r="I934" s="129"/>
      <c r="J934" s="130" t="s">
        <v>27</v>
      </c>
      <c r="L934" s="75">
        <f>G934*(1-'FORM-I'!$V$22/100)</f>
        <v>0</v>
      </c>
    </row>
    <row r="935" spans="2:12" hidden="1">
      <c r="B935" s="122"/>
      <c r="C935" s="123"/>
      <c r="D935" s="124"/>
      <c r="E935" s="125"/>
      <c r="F935" s="126"/>
      <c r="G935" s="127"/>
      <c r="H935" s="128" t="str">
        <f t="shared" si="46"/>
        <v/>
      </c>
      <c r="I935" s="129"/>
      <c r="J935" s="130" t="s">
        <v>27</v>
      </c>
      <c r="L935" s="75">
        <f>G935*(1-'FORM-I'!$V$22/100)</f>
        <v>0</v>
      </c>
    </row>
    <row r="936" spans="2:12" hidden="1">
      <c r="B936" s="122"/>
      <c r="C936" s="123"/>
      <c r="D936" s="124"/>
      <c r="E936" s="125"/>
      <c r="F936" s="126"/>
      <c r="G936" s="127"/>
      <c r="H936" s="128" t="str">
        <f t="shared" si="46"/>
        <v/>
      </c>
      <c r="I936" s="129"/>
      <c r="J936" s="130" t="s">
        <v>27</v>
      </c>
      <c r="L936" s="75">
        <f>G936*(1-'FORM-I'!$V$22/100)</f>
        <v>0</v>
      </c>
    </row>
    <row r="937" spans="2:12" hidden="1">
      <c r="B937" s="122"/>
      <c r="C937" s="123"/>
      <c r="D937" s="124"/>
      <c r="E937" s="125"/>
      <c r="F937" s="126"/>
      <c r="G937" s="127"/>
      <c r="H937" s="128" t="str">
        <f t="shared" si="46"/>
        <v/>
      </c>
      <c r="I937" s="129"/>
      <c r="J937" s="130" t="s">
        <v>27</v>
      </c>
      <c r="L937" s="75">
        <f>G937*(1-'FORM-I'!$V$22/100)</f>
        <v>0</v>
      </c>
    </row>
    <row r="938" spans="2:12" hidden="1">
      <c r="B938" s="122"/>
      <c r="C938" s="123"/>
      <c r="D938" s="124"/>
      <c r="E938" s="125"/>
      <c r="F938" s="126"/>
      <c r="G938" s="127"/>
      <c r="H938" s="128" t="str">
        <f t="shared" si="46"/>
        <v/>
      </c>
      <c r="I938" s="129"/>
      <c r="J938" s="130" t="s">
        <v>27</v>
      </c>
      <c r="L938" s="75">
        <f>G938*(1-'FORM-I'!$V$22/100)</f>
        <v>0</v>
      </c>
    </row>
    <row r="939" spans="2:12" hidden="1">
      <c r="B939" s="122"/>
      <c r="C939" s="123"/>
      <c r="D939" s="124"/>
      <c r="E939" s="125"/>
      <c r="F939" s="126"/>
      <c r="G939" s="127"/>
      <c r="H939" s="128" t="str">
        <f t="shared" si="46"/>
        <v/>
      </c>
      <c r="I939" s="129"/>
      <c r="J939" s="130" t="s">
        <v>27</v>
      </c>
      <c r="L939" s="75">
        <f>G939*(1-'FORM-I'!$V$22/100)</f>
        <v>0</v>
      </c>
    </row>
    <row r="940" spans="2:12" hidden="1">
      <c r="B940" s="122"/>
      <c r="C940" s="123"/>
      <c r="D940" s="124"/>
      <c r="E940" s="125"/>
      <c r="F940" s="126"/>
      <c r="G940" s="127"/>
      <c r="H940" s="128" t="str">
        <f t="shared" si="46"/>
        <v/>
      </c>
      <c r="I940" s="129"/>
      <c r="J940" s="130" t="s">
        <v>27</v>
      </c>
      <c r="L940" s="75">
        <f>G940*(1-'FORM-I'!$V$22/100)</f>
        <v>0</v>
      </c>
    </row>
    <row r="941" spans="2:12" hidden="1">
      <c r="B941" s="122"/>
      <c r="C941" s="123"/>
      <c r="D941" s="124"/>
      <c r="E941" s="125"/>
      <c r="F941" s="126"/>
      <c r="G941" s="127"/>
      <c r="H941" s="128" t="str">
        <f t="shared" si="46"/>
        <v/>
      </c>
      <c r="I941" s="129"/>
      <c r="J941" s="130" t="s">
        <v>27</v>
      </c>
      <c r="L941" s="75">
        <f>G941*(1-'FORM-I'!$V$22/100)</f>
        <v>0</v>
      </c>
    </row>
    <row r="942" spans="2:12" hidden="1">
      <c r="B942" s="122"/>
      <c r="C942" s="123"/>
      <c r="D942" s="124"/>
      <c r="E942" s="125"/>
      <c r="F942" s="126"/>
      <c r="G942" s="127"/>
      <c r="H942" s="128" t="str">
        <f t="shared" si="46"/>
        <v/>
      </c>
      <c r="I942" s="129"/>
      <c r="J942" s="130" t="s">
        <v>27</v>
      </c>
      <c r="L942" s="75">
        <f>G942*(1-'FORM-I'!$V$22/100)</f>
        <v>0</v>
      </c>
    </row>
    <row r="943" spans="2:12" hidden="1">
      <c r="B943" s="122"/>
      <c r="C943" s="123"/>
      <c r="D943" s="124"/>
      <c r="E943" s="125"/>
      <c r="F943" s="126"/>
      <c r="G943" s="127"/>
      <c r="H943" s="128" t="str">
        <f t="shared" si="46"/>
        <v/>
      </c>
      <c r="I943" s="129"/>
      <c r="J943" s="130" t="s">
        <v>27</v>
      </c>
      <c r="L943" s="75">
        <f>G943*(1-'FORM-I'!$V$22/100)</f>
        <v>0</v>
      </c>
    </row>
    <row r="944" spans="2:12" hidden="1">
      <c r="B944" s="122"/>
      <c r="C944" s="123"/>
      <c r="D944" s="124"/>
      <c r="E944" s="125"/>
      <c r="F944" s="126"/>
      <c r="G944" s="127"/>
      <c r="H944" s="128" t="str">
        <f t="shared" si="46"/>
        <v/>
      </c>
      <c r="I944" s="129"/>
      <c r="J944" s="130" t="s">
        <v>27</v>
      </c>
      <c r="L944" s="75">
        <f>G944*(1-'FORM-I'!$V$22/100)</f>
        <v>0</v>
      </c>
    </row>
    <row r="945" spans="2:12" hidden="1">
      <c r="B945" s="122"/>
      <c r="C945" s="123"/>
      <c r="D945" s="124"/>
      <c r="E945" s="125"/>
      <c r="F945" s="126"/>
      <c r="G945" s="127"/>
      <c r="H945" s="128" t="str">
        <f t="shared" ref="H945:H1008" si="47">IF(G945="","",$H$10)</f>
        <v/>
      </c>
      <c r="I945" s="129"/>
      <c r="J945" s="130" t="s">
        <v>27</v>
      </c>
      <c r="L945" s="75">
        <f>G945*(1-'FORM-I'!$V$22/100)</f>
        <v>0</v>
      </c>
    </row>
    <row r="946" spans="2:12" hidden="1">
      <c r="B946" s="122"/>
      <c r="C946" s="123"/>
      <c r="D946" s="124"/>
      <c r="E946" s="125"/>
      <c r="F946" s="126"/>
      <c r="G946" s="127"/>
      <c r="H946" s="128" t="str">
        <f t="shared" si="47"/>
        <v/>
      </c>
      <c r="I946" s="129"/>
      <c r="J946" s="130" t="s">
        <v>27</v>
      </c>
      <c r="L946" s="75">
        <f>G946*(1-'FORM-I'!$V$22/100)</f>
        <v>0</v>
      </c>
    </row>
    <row r="947" spans="2:12" hidden="1">
      <c r="B947" s="122"/>
      <c r="C947" s="123"/>
      <c r="D947" s="124"/>
      <c r="E947" s="125"/>
      <c r="F947" s="126"/>
      <c r="G947" s="127"/>
      <c r="H947" s="128" t="str">
        <f t="shared" si="47"/>
        <v/>
      </c>
      <c r="I947" s="129"/>
      <c r="J947" s="130" t="s">
        <v>27</v>
      </c>
      <c r="L947" s="75">
        <f>G947*(1-'FORM-I'!$V$22/100)</f>
        <v>0</v>
      </c>
    </row>
    <row r="948" spans="2:12" hidden="1">
      <c r="B948" s="122"/>
      <c r="C948" s="123"/>
      <c r="D948" s="124"/>
      <c r="E948" s="125"/>
      <c r="F948" s="126"/>
      <c r="G948" s="127"/>
      <c r="H948" s="128" t="str">
        <f t="shared" si="47"/>
        <v/>
      </c>
      <c r="I948" s="129"/>
      <c r="J948" s="130" t="s">
        <v>27</v>
      </c>
      <c r="L948" s="75">
        <f>G948*(1-'FORM-I'!$V$22/100)</f>
        <v>0</v>
      </c>
    </row>
    <row r="949" spans="2:12" hidden="1">
      <c r="B949" s="122"/>
      <c r="C949" s="123"/>
      <c r="D949" s="124"/>
      <c r="E949" s="125"/>
      <c r="F949" s="126"/>
      <c r="G949" s="127"/>
      <c r="H949" s="128" t="str">
        <f t="shared" si="47"/>
        <v/>
      </c>
      <c r="I949" s="129"/>
      <c r="J949" s="130" t="s">
        <v>27</v>
      </c>
      <c r="L949" s="75">
        <f>G949*(1-'FORM-I'!$V$22/100)</f>
        <v>0</v>
      </c>
    </row>
    <row r="950" spans="2:12" hidden="1">
      <c r="B950" s="122"/>
      <c r="C950" s="123"/>
      <c r="D950" s="124"/>
      <c r="E950" s="125"/>
      <c r="F950" s="126"/>
      <c r="G950" s="127"/>
      <c r="H950" s="128" t="str">
        <f t="shared" si="47"/>
        <v/>
      </c>
      <c r="I950" s="129"/>
      <c r="J950" s="130" t="s">
        <v>27</v>
      </c>
      <c r="L950" s="75">
        <f>G950*(1-'FORM-I'!$V$22/100)</f>
        <v>0</v>
      </c>
    </row>
    <row r="951" spans="2:12" hidden="1">
      <c r="B951" s="122"/>
      <c r="C951" s="123"/>
      <c r="D951" s="124"/>
      <c r="E951" s="125"/>
      <c r="F951" s="126"/>
      <c r="G951" s="127"/>
      <c r="H951" s="128" t="str">
        <f t="shared" si="47"/>
        <v/>
      </c>
      <c r="I951" s="129"/>
      <c r="J951" s="130" t="s">
        <v>27</v>
      </c>
      <c r="L951" s="75">
        <f>G951*(1-'FORM-I'!$V$22/100)</f>
        <v>0</v>
      </c>
    </row>
    <row r="952" spans="2:12" hidden="1">
      <c r="B952" s="122"/>
      <c r="C952" s="123"/>
      <c r="D952" s="124"/>
      <c r="E952" s="125"/>
      <c r="F952" s="126"/>
      <c r="G952" s="127"/>
      <c r="H952" s="128" t="str">
        <f t="shared" si="47"/>
        <v/>
      </c>
      <c r="I952" s="129"/>
      <c r="J952" s="130" t="s">
        <v>27</v>
      </c>
      <c r="L952" s="75">
        <f>G952*(1-'FORM-I'!$V$22/100)</f>
        <v>0</v>
      </c>
    </row>
    <row r="953" spans="2:12" hidden="1">
      <c r="B953" s="122"/>
      <c r="C953" s="123"/>
      <c r="D953" s="124"/>
      <c r="E953" s="125"/>
      <c r="F953" s="126"/>
      <c r="G953" s="127"/>
      <c r="H953" s="128" t="str">
        <f t="shared" si="47"/>
        <v/>
      </c>
      <c r="I953" s="129"/>
      <c r="J953" s="130" t="s">
        <v>27</v>
      </c>
      <c r="L953" s="75">
        <f>G953*(1-'FORM-I'!$V$22/100)</f>
        <v>0</v>
      </c>
    </row>
    <row r="954" spans="2:12" hidden="1">
      <c r="B954" s="122"/>
      <c r="C954" s="123"/>
      <c r="D954" s="124"/>
      <c r="E954" s="125"/>
      <c r="F954" s="126"/>
      <c r="G954" s="127"/>
      <c r="H954" s="128" t="str">
        <f t="shared" si="47"/>
        <v/>
      </c>
      <c r="I954" s="129"/>
      <c r="J954" s="130" t="s">
        <v>27</v>
      </c>
      <c r="L954" s="75">
        <f>G954*(1-'FORM-I'!$V$22/100)</f>
        <v>0</v>
      </c>
    </row>
    <row r="955" spans="2:12" hidden="1">
      <c r="B955" s="122"/>
      <c r="C955" s="123"/>
      <c r="D955" s="124"/>
      <c r="E955" s="125"/>
      <c r="F955" s="126"/>
      <c r="G955" s="127"/>
      <c r="H955" s="128" t="str">
        <f t="shared" si="47"/>
        <v/>
      </c>
      <c r="I955" s="129"/>
      <c r="J955" s="130" t="s">
        <v>27</v>
      </c>
      <c r="L955" s="75">
        <f>G955*(1-'FORM-I'!$V$22/100)</f>
        <v>0</v>
      </c>
    </row>
    <row r="956" spans="2:12" hidden="1">
      <c r="B956" s="122"/>
      <c r="C956" s="123"/>
      <c r="D956" s="124"/>
      <c r="E956" s="125"/>
      <c r="F956" s="126"/>
      <c r="G956" s="127"/>
      <c r="H956" s="128" t="str">
        <f t="shared" si="47"/>
        <v/>
      </c>
      <c r="I956" s="129"/>
      <c r="J956" s="130" t="s">
        <v>27</v>
      </c>
      <c r="L956" s="75">
        <f>G956*(1-'FORM-I'!$V$22/100)</f>
        <v>0</v>
      </c>
    </row>
    <row r="957" spans="2:12" hidden="1">
      <c r="B957" s="122"/>
      <c r="C957" s="123"/>
      <c r="D957" s="124"/>
      <c r="E957" s="125"/>
      <c r="F957" s="126"/>
      <c r="G957" s="127"/>
      <c r="H957" s="128" t="str">
        <f t="shared" si="47"/>
        <v/>
      </c>
      <c r="I957" s="129"/>
      <c r="J957" s="130" t="s">
        <v>27</v>
      </c>
      <c r="L957" s="75">
        <f>G957*(1-'FORM-I'!$V$22/100)</f>
        <v>0</v>
      </c>
    </row>
    <row r="958" spans="2:12" hidden="1">
      <c r="B958" s="122"/>
      <c r="C958" s="123"/>
      <c r="D958" s="124"/>
      <c r="E958" s="125"/>
      <c r="F958" s="126"/>
      <c r="G958" s="127"/>
      <c r="H958" s="128" t="str">
        <f t="shared" si="47"/>
        <v/>
      </c>
      <c r="I958" s="129"/>
      <c r="J958" s="130" t="s">
        <v>27</v>
      </c>
      <c r="L958" s="75">
        <f>G958*(1-'FORM-I'!$V$22/100)</f>
        <v>0</v>
      </c>
    </row>
    <row r="959" spans="2:12" hidden="1">
      <c r="B959" s="122"/>
      <c r="C959" s="123"/>
      <c r="D959" s="124"/>
      <c r="E959" s="125"/>
      <c r="F959" s="126"/>
      <c r="G959" s="127"/>
      <c r="H959" s="128" t="str">
        <f t="shared" si="47"/>
        <v/>
      </c>
      <c r="I959" s="129"/>
      <c r="J959" s="130" t="s">
        <v>27</v>
      </c>
      <c r="L959" s="75">
        <f>G959*(1-'FORM-I'!$V$22/100)</f>
        <v>0</v>
      </c>
    </row>
    <row r="960" spans="2:12" hidden="1">
      <c r="B960" s="122"/>
      <c r="C960" s="123"/>
      <c r="D960" s="124"/>
      <c r="E960" s="125"/>
      <c r="F960" s="126"/>
      <c r="G960" s="127"/>
      <c r="H960" s="128" t="str">
        <f t="shared" si="47"/>
        <v/>
      </c>
      <c r="I960" s="129"/>
      <c r="J960" s="130" t="s">
        <v>27</v>
      </c>
      <c r="L960" s="75">
        <f>G960*(1-'FORM-I'!$V$22/100)</f>
        <v>0</v>
      </c>
    </row>
    <row r="961" spans="2:12" hidden="1">
      <c r="B961" s="122"/>
      <c r="C961" s="123"/>
      <c r="D961" s="124"/>
      <c r="E961" s="125"/>
      <c r="F961" s="126"/>
      <c r="G961" s="127"/>
      <c r="H961" s="128" t="str">
        <f t="shared" si="47"/>
        <v/>
      </c>
      <c r="I961" s="129"/>
      <c r="J961" s="130" t="s">
        <v>27</v>
      </c>
      <c r="L961" s="75">
        <f>G961*(1-'FORM-I'!$V$22/100)</f>
        <v>0</v>
      </c>
    </row>
    <row r="962" spans="2:12" hidden="1">
      <c r="B962" s="122"/>
      <c r="C962" s="123"/>
      <c r="D962" s="124"/>
      <c r="E962" s="125"/>
      <c r="F962" s="126"/>
      <c r="G962" s="127"/>
      <c r="H962" s="128" t="str">
        <f t="shared" si="47"/>
        <v/>
      </c>
      <c r="I962" s="129"/>
      <c r="J962" s="130" t="s">
        <v>27</v>
      </c>
      <c r="L962" s="75">
        <f>G962*(1-'FORM-I'!$V$22/100)</f>
        <v>0</v>
      </c>
    </row>
    <row r="963" spans="2:12" hidden="1">
      <c r="B963" s="122"/>
      <c r="C963" s="123"/>
      <c r="D963" s="124"/>
      <c r="E963" s="125"/>
      <c r="F963" s="126"/>
      <c r="G963" s="127"/>
      <c r="H963" s="128" t="str">
        <f t="shared" si="47"/>
        <v/>
      </c>
      <c r="I963" s="129"/>
      <c r="J963" s="130" t="s">
        <v>27</v>
      </c>
      <c r="L963" s="75">
        <f>G963*(1-'FORM-I'!$V$22/100)</f>
        <v>0</v>
      </c>
    </row>
    <row r="964" spans="2:12" hidden="1">
      <c r="B964" s="122"/>
      <c r="C964" s="123"/>
      <c r="D964" s="124"/>
      <c r="E964" s="125"/>
      <c r="F964" s="126"/>
      <c r="G964" s="127"/>
      <c r="H964" s="128" t="str">
        <f t="shared" si="47"/>
        <v/>
      </c>
      <c r="I964" s="129"/>
      <c r="J964" s="130" t="s">
        <v>27</v>
      </c>
      <c r="L964" s="75">
        <f>G964*(1-'FORM-I'!$V$22/100)</f>
        <v>0</v>
      </c>
    </row>
    <row r="965" spans="2:12" hidden="1">
      <c r="B965" s="122"/>
      <c r="C965" s="123"/>
      <c r="D965" s="124"/>
      <c r="E965" s="125"/>
      <c r="F965" s="126"/>
      <c r="G965" s="127"/>
      <c r="H965" s="128" t="str">
        <f t="shared" si="47"/>
        <v/>
      </c>
      <c r="I965" s="129"/>
      <c r="J965" s="130" t="s">
        <v>27</v>
      </c>
      <c r="L965" s="75">
        <f>G965*(1-'FORM-I'!$V$22/100)</f>
        <v>0</v>
      </c>
    </row>
    <row r="966" spans="2:12" hidden="1">
      <c r="B966" s="122"/>
      <c r="C966" s="123"/>
      <c r="D966" s="124"/>
      <c r="E966" s="125"/>
      <c r="F966" s="126"/>
      <c r="G966" s="127"/>
      <c r="H966" s="128" t="str">
        <f t="shared" si="47"/>
        <v/>
      </c>
      <c r="I966" s="129"/>
      <c r="J966" s="130" t="s">
        <v>27</v>
      </c>
      <c r="L966" s="75">
        <f>G966*(1-'FORM-I'!$V$22/100)</f>
        <v>0</v>
      </c>
    </row>
    <row r="967" spans="2:12" hidden="1">
      <c r="B967" s="122"/>
      <c r="C967" s="123"/>
      <c r="D967" s="124"/>
      <c r="E967" s="125"/>
      <c r="F967" s="126"/>
      <c r="G967" s="127"/>
      <c r="H967" s="128" t="str">
        <f t="shared" si="47"/>
        <v/>
      </c>
      <c r="I967" s="129"/>
      <c r="J967" s="130" t="s">
        <v>27</v>
      </c>
      <c r="L967" s="75">
        <f>G967*(1-'FORM-I'!$V$22/100)</f>
        <v>0</v>
      </c>
    </row>
    <row r="968" spans="2:12" hidden="1">
      <c r="B968" s="122"/>
      <c r="C968" s="123"/>
      <c r="D968" s="124"/>
      <c r="E968" s="125"/>
      <c r="F968" s="126"/>
      <c r="G968" s="127"/>
      <c r="H968" s="128" t="str">
        <f t="shared" si="47"/>
        <v/>
      </c>
      <c r="I968" s="129"/>
      <c r="J968" s="130" t="s">
        <v>27</v>
      </c>
      <c r="L968" s="75">
        <f>G968*(1-'FORM-I'!$V$22/100)</f>
        <v>0</v>
      </c>
    </row>
    <row r="969" spans="2:12" hidden="1">
      <c r="B969" s="122"/>
      <c r="C969" s="123"/>
      <c r="D969" s="124"/>
      <c r="E969" s="125"/>
      <c r="F969" s="126"/>
      <c r="G969" s="127"/>
      <c r="H969" s="128" t="str">
        <f t="shared" si="47"/>
        <v/>
      </c>
      <c r="I969" s="129"/>
      <c r="J969" s="130" t="s">
        <v>27</v>
      </c>
      <c r="L969" s="75">
        <f>G969*(1-'FORM-I'!$V$22/100)</f>
        <v>0</v>
      </c>
    </row>
    <row r="970" spans="2:12" hidden="1">
      <c r="B970" s="122"/>
      <c r="C970" s="123"/>
      <c r="D970" s="124"/>
      <c r="E970" s="125"/>
      <c r="F970" s="126"/>
      <c r="G970" s="127"/>
      <c r="H970" s="128" t="str">
        <f t="shared" si="47"/>
        <v/>
      </c>
      <c r="I970" s="129"/>
      <c r="J970" s="130" t="s">
        <v>27</v>
      </c>
      <c r="L970" s="75">
        <f>G970*(1-'FORM-I'!$V$22/100)</f>
        <v>0</v>
      </c>
    </row>
    <row r="971" spans="2:12" hidden="1">
      <c r="B971" s="122"/>
      <c r="C971" s="123"/>
      <c r="D971" s="124"/>
      <c r="E971" s="125"/>
      <c r="F971" s="126"/>
      <c r="G971" s="127"/>
      <c r="H971" s="128" t="str">
        <f t="shared" si="47"/>
        <v/>
      </c>
      <c r="I971" s="129"/>
      <c r="J971" s="130" t="s">
        <v>27</v>
      </c>
      <c r="L971" s="75">
        <f>G971*(1-'FORM-I'!$V$22/100)</f>
        <v>0</v>
      </c>
    </row>
    <row r="972" spans="2:12" hidden="1">
      <c r="B972" s="122"/>
      <c r="C972" s="123"/>
      <c r="D972" s="124"/>
      <c r="E972" s="125"/>
      <c r="F972" s="126"/>
      <c r="G972" s="127"/>
      <c r="H972" s="128" t="str">
        <f t="shared" si="47"/>
        <v/>
      </c>
      <c r="I972" s="129"/>
      <c r="J972" s="130" t="s">
        <v>27</v>
      </c>
      <c r="L972" s="75">
        <f>G972*(1-'FORM-I'!$V$22/100)</f>
        <v>0</v>
      </c>
    </row>
    <row r="973" spans="2:12" hidden="1">
      <c r="B973" s="122"/>
      <c r="C973" s="123"/>
      <c r="D973" s="124"/>
      <c r="E973" s="125"/>
      <c r="F973" s="126"/>
      <c r="G973" s="127"/>
      <c r="H973" s="128" t="str">
        <f t="shared" si="47"/>
        <v/>
      </c>
      <c r="I973" s="129"/>
      <c r="J973" s="130" t="s">
        <v>27</v>
      </c>
      <c r="L973" s="75">
        <f>G973*(1-'FORM-I'!$V$22/100)</f>
        <v>0</v>
      </c>
    </row>
    <row r="974" spans="2:12" hidden="1">
      <c r="B974" s="122"/>
      <c r="C974" s="123"/>
      <c r="D974" s="124"/>
      <c r="E974" s="125"/>
      <c r="F974" s="126"/>
      <c r="G974" s="127"/>
      <c r="H974" s="128" t="str">
        <f t="shared" si="47"/>
        <v/>
      </c>
      <c r="I974" s="129"/>
      <c r="J974" s="130" t="s">
        <v>27</v>
      </c>
      <c r="L974" s="75">
        <f>G974*(1-'FORM-I'!$V$22/100)</f>
        <v>0</v>
      </c>
    </row>
    <row r="975" spans="2:12" hidden="1">
      <c r="B975" s="122"/>
      <c r="C975" s="123"/>
      <c r="D975" s="124"/>
      <c r="E975" s="125"/>
      <c r="F975" s="126"/>
      <c r="G975" s="127"/>
      <c r="H975" s="128" t="str">
        <f t="shared" si="47"/>
        <v/>
      </c>
      <c r="I975" s="129"/>
      <c r="J975" s="130" t="s">
        <v>27</v>
      </c>
      <c r="L975" s="75">
        <f>G975*(1-'FORM-I'!$V$22/100)</f>
        <v>0</v>
      </c>
    </row>
    <row r="976" spans="2:12" hidden="1">
      <c r="B976" s="122"/>
      <c r="C976" s="123"/>
      <c r="D976" s="124"/>
      <c r="E976" s="125"/>
      <c r="F976" s="126"/>
      <c r="G976" s="127"/>
      <c r="H976" s="128" t="str">
        <f t="shared" si="47"/>
        <v/>
      </c>
      <c r="I976" s="129"/>
      <c r="J976" s="130" t="s">
        <v>27</v>
      </c>
      <c r="L976" s="75">
        <f>G976*(1-'FORM-I'!$V$22/100)</f>
        <v>0</v>
      </c>
    </row>
    <row r="977" spans="2:12" hidden="1">
      <c r="B977" s="122"/>
      <c r="C977" s="123"/>
      <c r="D977" s="124"/>
      <c r="E977" s="125"/>
      <c r="F977" s="126"/>
      <c r="G977" s="127"/>
      <c r="H977" s="128" t="str">
        <f t="shared" si="47"/>
        <v/>
      </c>
      <c r="I977" s="129"/>
      <c r="J977" s="130" t="s">
        <v>27</v>
      </c>
      <c r="L977" s="75">
        <f>G977*(1-'FORM-I'!$V$22/100)</f>
        <v>0</v>
      </c>
    </row>
    <row r="978" spans="2:12" hidden="1">
      <c r="B978" s="122"/>
      <c r="C978" s="123"/>
      <c r="D978" s="124"/>
      <c r="E978" s="125"/>
      <c r="F978" s="126"/>
      <c r="G978" s="127"/>
      <c r="H978" s="128" t="str">
        <f t="shared" si="47"/>
        <v/>
      </c>
      <c r="I978" s="129"/>
      <c r="J978" s="130" t="s">
        <v>27</v>
      </c>
      <c r="L978" s="75">
        <f>G978*(1-'FORM-I'!$V$22/100)</f>
        <v>0</v>
      </c>
    </row>
    <row r="979" spans="2:12" hidden="1">
      <c r="B979" s="122"/>
      <c r="C979" s="123"/>
      <c r="D979" s="124"/>
      <c r="E979" s="125"/>
      <c r="F979" s="126"/>
      <c r="G979" s="127"/>
      <c r="H979" s="128" t="str">
        <f t="shared" si="47"/>
        <v/>
      </c>
      <c r="I979" s="129"/>
      <c r="J979" s="130" t="s">
        <v>27</v>
      </c>
      <c r="L979" s="75">
        <f>G979*(1-'FORM-I'!$V$22/100)</f>
        <v>0</v>
      </c>
    </row>
    <row r="980" spans="2:12" hidden="1">
      <c r="B980" s="122"/>
      <c r="C980" s="123"/>
      <c r="D980" s="124"/>
      <c r="E980" s="125"/>
      <c r="F980" s="126"/>
      <c r="G980" s="127"/>
      <c r="H980" s="128" t="str">
        <f t="shared" si="47"/>
        <v/>
      </c>
      <c r="I980" s="129"/>
      <c r="J980" s="130" t="s">
        <v>27</v>
      </c>
      <c r="L980" s="75">
        <f>G980*(1-'FORM-I'!$V$22/100)</f>
        <v>0</v>
      </c>
    </row>
    <row r="981" spans="2:12" hidden="1">
      <c r="B981" s="122"/>
      <c r="C981" s="123"/>
      <c r="D981" s="124"/>
      <c r="E981" s="125"/>
      <c r="F981" s="126"/>
      <c r="G981" s="127"/>
      <c r="H981" s="128" t="str">
        <f t="shared" si="47"/>
        <v/>
      </c>
      <c r="I981" s="129"/>
      <c r="J981" s="130" t="s">
        <v>27</v>
      </c>
      <c r="L981" s="75">
        <f>G981*(1-'FORM-I'!$V$22/100)</f>
        <v>0</v>
      </c>
    </row>
    <row r="982" spans="2:12" hidden="1">
      <c r="B982" s="122"/>
      <c r="C982" s="123"/>
      <c r="D982" s="124"/>
      <c r="E982" s="125"/>
      <c r="F982" s="126"/>
      <c r="G982" s="127"/>
      <c r="H982" s="128" t="str">
        <f t="shared" si="47"/>
        <v/>
      </c>
      <c r="I982" s="129"/>
      <c r="J982" s="130" t="s">
        <v>27</v>
      </c>
      <c r="L982" s="75">
        <f>G982*(1-'FORM-I'!$V$22/100)</f>
        <v>0</v>
      </c>
    </row>
    <row r="983" spans="2:12" hidden="1">
      <c r="B983" s="122"/>
      <c r="C983" s="123"/>
      <c r="D983" s="124"/>
      <c r="E983" s="125"/>
      <c r="F983" s="126"/>
      <c r="G983" s="127"/>
      <c r="H983" s="128" t="str">
        <f t="shared" si="47"/>
        <v/>
      </c>
      <c r="I983" s="129"/>
      <c r="J983" s="130" t="s">
        <v>27</v>
      </c>
      <c r="L983" s="75">
        <f>G983*(1-'FORM-I'!$V$22/100)</f>
        <v>0</v>
      </c>
    </row>
    <row r="984" spans="2:12" hidden="1">
      <c r="B984" s="122"/>
      <c r="C984" s="123"/>
      <c r="D984" s="124"/>
      <c r="E984" s="125"/>
      <c r="F984" s="126"/>
      <c r="G984" s="127"/>
      <c r="H984" s="128" t="str">
        <f t="shared" si="47"/>
        <v/>
      </c>
      <c r="I984" s="129"/>
      <c r="J984" s="130" t="s">
        <v>27</v>
      </c>
      <c r="L984" s="75">
        <f>G984*(1-'FORM-I'!$V$22/100)</f>
        <v>0</v>
      </c>
    </row>
    <row r="985" spans="2:12" hidden="1">
      <c r="B985" s="122"/>
      <c r="C985" s="123"/>
      <c r="D985" s="124"/>
      <c r="E985" s="125"/>
      <c r="F985" s="126"/>
      <c r="G985" s="127"/>
      <c r="H985" s="128" t="str">
        <f t="shared" si="47"/>
        <v/>
      </c>
      <c r="I985" s="129"/>
      <c r="J985" s="130" t="s">
        <v>27</v>
      </c>
      <c r="L985" s="75">
        <f>G985*(1-'FORM-I'!$V$22/100)</f>
        <v>0</v>
      </c>
    </row>
    <row r="986" spans="2:12" hidden="1">
      <c r="B986" s="122"/>
      <c r="C986" s="123"/>
      <c r="D986" s="124"/>
      <c r="E986" s="125"/>
      <c r="F986" s="126"/>
      <c r="G986" s="127"/>
      <c r="H986" s="128" t="str">
        <f t="shared" si="47"/>
        <v/>
      </c>
      <c r="I986" s="129"/>
      <c r="J986" s="130" t="s">
        <v>27</v>
      </c>
      <c r="L986" s="75">
        <f>G986*(1-'FORM-I'!$V$22/100)</f>
        <v>0</v>
      </c>
    </row>
    <row r="987" spans="2:12" hidden="1">
      <c r="B987" s="122"/>
      <c r="C987" s="123"/>
      <c r="D987" s="124"/>
      <c r="E987" s="125"/>
      <c r="F987" s="126"/>
      <c r="G987" s="127"/>
      <c r="H987" s="128" t="str">
        <f t="shared" si="47"/>
        <v/>
      </c>
      <c r="I987" s="129"/>
      <c r="J987" s="130" t="s">
        <v>27</v>
      </c>
      <c r="L987" s="75">
        <f>G987*(1-'FORM-I'!$V$22/100)</f>
        <v>0</v>
      </c>
    </row>
    <row r="988" spans="2:12" hidden="1">
      <c r="B988" s="122"/>
      <c r="C988" s="123"/>
      <c r="D988" s="124"/>
      <c r="E988" s="125"/>
      <c r="F988" s="126"/>
      <c r="G988" s="127"/>
      <c r="H988" s="128" t="str">
        <f t="shared" si="47"/>
        <v/>
      </c>
      <c r="I988" s="129"/>
      <c r="J988" s="130" t="s">
        <v>27</v>
      </c>
      <c r="L988" s="75">
        <f>G988*(1-'FORM-I'!$V$22/100)</f>
        <v>0</v>
      </c>
    </row>
    <row r="989" spans="2:12" hidden="1">
      <c r="B989" s="122"/>
      <c r="C989" s="123"/>
      <c r="D989" s="124"/>
      <c r="E989" s="125"/>
      <c r="F989" s="126"/>
      <c r="G989" s="127"/>
      <c r="H989" s="128" t="str">
        <f t="shared" si="47"/>
        <v/>
      </c>
      <c r="I989" s="129"/>
      <c r="J989" s="130" t="s">
        <v>27</v>
      </c>
      <c r="L989" s="75">
        <f>G989*(1-'FORM-I'!$V$22/100)</f>
        <v>0</v>
      </c>
    </row>
    <row r="990" spans="2:12" hidden="1">
      <c r="B990" s="122"/>
      <c r="C990" s="123"/>
      <c r="D990" s="124"/>
      <c r="E990" s="125"/>
      <c r="F990" s="126"/>
      <c r="G990" s="127"/>
      <c r="H990" s="128" t="str">
        <f t="shared" si="47"/>
        <v/>
      </c>
      <c r="I990" s="129"/>
      <c r="J990" s="130" t="s">
        <v>27</v>
      </c>
      <c r="L990" s="75">
        <f>G990*(1-'FORM-I'!$V$22/100)</f>
        <v>0</v>
      </c>
    </row>
    <row r="991" spans="2:12" hidden="1">
      <c r="B991" s="122"/>
      <c r="C991" s="123"/>
      <c r="D991" s="124"/>
      <c r="E991" s="125"/>
      <c r="F991" s="126"/>
      <c r="G991" s="127"/>
      <c r="H991" s="128" t="str">
        <f t="shared" si="47"/>
        <v/>
      </c>
      <c r="I991" s="129"/>
      <c r="J991" s="130" t="s">
        <v>27</v>
      </c>
      <c r="L991" s="75">
        <f>G991*(1-'FORM-I'!$V$22/100)</f>
        <v>0</v>
      </c>
    </row>
    <row r="992" spans="2:12" hidden="1">
      <c r="B992" s="122"/>
      <c r="C992" s="123"/>
      <c r="D992" s="124"/>
      <c r="E992" s="125"/>
      <c r="F992" s="126"/>
      <c r="G992" s="127"/>
      <c r="H992" s="128" t="str">
        <f t="shared" si="47"/>
        <v/>
      </c>
      <c r="I992" s="129"/>
      <c r="J992" s="130" t="s">
        <v>27</v>
      </c>
      <c r="L992" s="75">
        <f>G992*(1-'FORM-I'!$V$22/100)</f>
        <v>0</v>
      </c>
    </row>
    <row r="993" spans="2:12" hidden="1">
      <c r="B993" s="122"/>
      <c r="C993" s="123"/>
      <c r="D993" s="124"/>
      <c r="E993" s="125"/>
      <c r="F993" s="126"/>
      <c r="G993" s="127"/>
      <c r="H993" s="128" t="str">
        <f t="shared" si="47"/>
        <v/>
      </c>
      <c r="I993" s="129"/>
      <c r="J993" s="130" t="s">
        <v>27</v>
      </c>
      <c r="L993" s="75">
        <f>G993*(1-'FORM-I'!$V$22/100)</f>
        <v>0</v>
      </c>
    </row>
    <row r="994" spans="2:12" hidden="1">
      <c r="B994" s="122"/>
      <c r="C994" s="123"/>
      <c r="D994" s="124"/>
      <c r="E994" s="125"/>
      <c r="F994" s="126"/>
      <c r="G994" s="127"/>
      <c r="H994" s="128" t="str">
        <f t="shared" si="47"/>
        <v/>
      </c>
      <c r="I994" s="129"/>
      <c r="J994" s="130" t="s">
        <v>27</v>
      </c>
      <c r="L994" s="75">
        <f>G994*(1-'FORM-I'!$V$22/100)</f>
        <v>0</v>
      </c>
    </row>
    <row r="995" spans="2:12" hidden="1">
      <c r="B995" s="122"/>
      <c r="C995" s="123"/>
      <c r="D995" s="124"/>
      <c r="E995" s="125"/>
      <c r="F995" s="126"/>
      <c r="G995" s="127"/>
      <c r="H995" s="128" t="str">
        <f t="shared" si="47"/>
        <v/>
      </c>
      <c r="I995" s="129"/>
      <c r="J995" s="130" t="s">
        <v>27</v>
      </c>
      <c r="L995" s="75">
        <f>G995*(1-'FORM-I'!$V$22/100)</f>
        <v>0</v>
      </c>
    </row>
    <row r="996" spans="2:12" hidden="1">
      <c r="B996" s="122"/>
      <c r="C996" s="123"/>
      <c r="D996" s="124"/>
      <c r="E996" s="125"/>
      <c r="F996" s="126"/>
      <c r="G996" s="127"/>
      <c r="H996" s="128" t="str">
        <f t="shared" si="47"/>
        <v/>
      </c>
      <c r="I996" s="129"/>
      <c r="J996" s="130" t="s">
        <v>27</v>
      </c>
      <c r="L996" s="75">
        <f>G996*(1-'FORM-I'!$V$22/100)</f>
        <v>0</v>
      </c>
    </row>
    <row r="997" spans="2:12" hidden="1">
      <c r="B997" s="122"/>
      <c r="C997" s="123"/>
      <c r="D997" s="124"/>
      <c r="E997" s="125"/>
      <c r="F997" s="126"/>
      <c r="G997" s="127"/>
      <c r="H997" s="128" t="str">
        <f t="shared" si="47"/>
        <v/>
      </c>
      <c r="I997" s="129"/>
      <c r="J997" s="130" t="s">
        <v>27</v>
      </c>
      <c r="L997" s="75">
        <f>G997*(1-'FORM-I'!$V$22/100)</f>
        <v>0</v>
      </c>
    </row>
    <row r="998" spans="2:12" hidden="1">
      <c r="B998" s="122"/>
      <c r="C998" s="123"/>
      <c r="D998" s="124"/>
      <c r="E998" s="125"/>
      <c r="F998" s="126"/>
      <c r="G998" s="127"/>
      <c r="H998" s="128" t="str">
        <f t="shared" si="47"/>
        <v/>
      </c>
      <c r="I998" s="129"/>
      <c r="J998" s="130" t="s">
        <v>27</v>
      </c>
      <c r="L998" s="75">
        <f>G998*(1-'FORM-I'!$V$22/100)</f>
        <v>0</v>
      </c>
    </row>
    <row r="999" spans="2:12" hidden="1">
      <c r="B999" s="122"/>
      <c r="C999" s="123"/>
      <c r="D999" s="124"/>
      <c r="E999" s="125"/>
      <c r="F999" s="126"/>
      <c r="G999" s="127"/>
      <c r="H999" s="128" t="str">
        <f t="shared" si="47"/>
        <v/>
      </c>
      <c r="I999" s="129"/>
      <c r="J999" s="130" t="s">
        <v>27</v>
      </c>
      <c r="L999" s="75">
        <f>G999*(1-'FORM-I'!$V$22/100)</f>
        <v>0</v>
      </c>
    </row>
    <row r="1000" spans="2:12" hidden="1">
      <c r="B1000" s="122"/>
      <c r="C1000" s="123"/>
      <c r="D1000" s="124"/>
      <c r="E1000" s="125"/>
      <c r="F1000" s="126"/>
      <c r="G1000" s="127"/>
      <c r="H1000" s="128" t="str">
        <f t="shared" si="47"/>
        <v/>
      </c>
      <c r="I1000" s="129"/>
      <c r="J1000" s="130" t="s">
        <v>27</v>
      </c>
      <c r="L1000" s="75">
        <f>G1000*(1-'FORM-I'!$V$22/100)</f>
        <v>0</v>
      </c>
    </row>
    <row r="1001" spans="2:12" hidden="1">
      <c r="B1001" s="122"/>
      <c r="C1001" s="123"/>
      <c r="D1001" s="124"/>
      <c r="E1001" s="125"/>
      <c r="F1001" s="126"/>
      <c r="G1001" s="127"/>
      <c r="H1001" s="128" t="str">
        <f t="shared" si="47"/>
        <v/>
      </c>
      <c r="I1001" s="129"/>
      <c r="J1001" s="130" t="s">
        <v>27</v>
      </c>
      <c r="L1001" s="75">
        <f>G1001*(1-'FORM-I'!$V$22/100)</f>
        <v>0</v>
      </c>
    </row>
    <row r="1002" spans="2:12" hidden="1">
      <c r="B1002" s="122"/>
      <c r="C1002" s="123"/>
      <c r="D1002" s="124"/>
      <c r="E1002" s="125"/>
      <c r="F1002" s="126"/>
      <c r="G1002" s="127"/>
      <c r="H1002" s="128" t="str">
        <f t="shared" si="47"/>
        <v/>
      </c>
      <c r="I1002" s="129"/>
      <c r="J1002" s="130" t="s">
        <v>27</v>
      </c>
      <c r="L1002" s="75">
        <f>G1002*(1-'FORM-I'!$V$22/100)</f>
        <v>0</v>
      </c>
    </row>
    <row r="1003" spans="2:12" hidden="1">
      <c r="B1003" s="122"/>
      <c r="C1003" s="123"/>
      <c r="D1003" s="124"/>
      <c r="E1003" s="125"/>
      <c r="F1003" s="126"/>
      <c r="G1003" s="127"/>
      <c r="H1003" s="128" t="str">
        <f t="shared" si="47"/>
        <v/>
      </c>
      <c r="I1003" s="129"/>
      <c r="J1003" s="130" t="s">
        <v>27</v>
      </c>
      <c r="L1003" s="75">
        <f>G1003*(1-'FORM-I'!$V$22/100)</f>
        <v>0</v>
      </c>
    </row>
    <row r="1004" spans="2:12" hidden="1">
      <c r="B1004" s="122"/>
      <c r="C1004" s="123"/>
      <c r="D1004" s="124"/>
      <c r="E1004" s="125"/>
      <c r="F1004" s="126"/>
      <c r="G1004" s="127"/>
      <c r="H1004" s="128" t="str">
        <f t="shared" si="47"/>
        <v/>
      </c>
      <c r="I1004" s="129"/>
      <c r="J1004" s="130" t="s">
        <v>27</v>
      </c>
      <c r="L1004" s="75">
        <f>G1004*(1-'FORM-I'!$V$22/100)</f>
        <v>0</v>
      </c>
    </row>
    <row r="1005" spans="2:12" hidden="1">
      <c r="B1005" s="122"/>
      <c r="C1005" s="123"/>
      <c r="D1005" s="124"/>
      <c r="E1005" s="125"/>
      <c r="F1005" s="126"/>
      <c r="G1005" s="127"/>
      <c r="H1005" s="128" t="str">
        <f t="shared" si="47"/>
        <v/>
      </c>
      <c r="I1005" s="129"/>
      <c r="J1005" s="130" t="s">
        <v>27</v>
      </c>
      <c r="L1005" s="75">
        <f>G1005*(1-'FORM-I'!$V$22/100)</f>
        <v>0</v>
      </c>
    </row>
    <row r="1006" spans="2:12" hidden="1">
      <c r="B1006" s="122"/>
      <c r="C1006" s="123"/>
      <c r="D1006" s="124"/>
      <c r="E1006" s="125"/>
      <c r="F1006" s="126"/>
      <c r="G1006" s="127"/>
      <c r="H1006" s="128" t="str">
        <f t="shared" si="47"/>
        <v/>
      </c>
      <c r="I1006" s="129"/>
      <c r="J1006" s="130" t="s">
        <v>27</v>
      </c>
      <c r="L1006" s="75">
        <f>G1006*(1-'FORM-I'!$V$22/100)</f>
        <v>0</v>
      </c>
    </row>
    <row r="1007" spans="2:12" hidden="1">
      <c r="B1007" s="122"/>
      <c r="C1007" s="123"/>
      <c r="D1007" s="124"/>
      <c r="E1007" s="125"/>
      <c r="F1007" s="126"/>
      <c r="G1007" s="127"/>
      <c r="H1007" s="128" t="str">
        <f t="shared" si="47"/>
        <v/>
      </c>
      <c r="I1007" s="129"/>
      <c r="J1007" s="130" t="s">
        <v>27</v>
      </c>
      <c r="L1007" s="75">
        <f>G1007*(1-'FORM-I'!$V$22/100)</f>
        <v>0</v>
      </c>
    </row>
    <row r="1008" spans="2:12" hidden="1">
      <c r="B1008" s="122"/>
      <c r="C1008" s="123"/>
      <c r="D1008" s="124"/>
      <c r="E1008" s="125"/>
      <c r="F1008" s="126"/>
      <c r="G1008" s="127"/>
      <c r="H1008" s="128" t="str">
        <f t="shared" si="47"/>
        <v/>
      </c>
      <c r="I1008" s="129"/>
      <c r="J1008" s="130" t="s">
        <v>27</v>
      </c>
      <c r="L1008" s="75">
        <f>G1008*(1-'FORM-I'!$V$22/100)</f>
        <v>0</v>
      </c>
    </row>
    <row r="1009" spans="2:12" hidden="1">
      <c r="B1009" s="122"/>
      <c r="C1009" s="123"/>
      <c r="D1009" s="124"/>
      <c r="E1009" s="125"/>
      <c r="F1009" s="126"/>
      <c r="G1009" s="127"/>
      <c r="H1009" s="128" t="str">
        <f t="shared" ref="H1009:H1020" si="48">IF(G1009="","",$H$10)</f>
        <v/>
      </c>
      <c r="I1009" s="129"/>
      <c r="J1009" s="130" t="s">
        <v>27</v>
      </c>
      <c r="L1009" s="75">
        <f>G1009*(1-'FORM-I'!$V$22/100)</f>
        <v>0</v>
      </c>
    </row>
    <row r="1010" spans="2:12" hidden="1">
      <c r="B1010" s="122"/>
      <c r="C1010" s="123"/>
      <c r="D1010" s="124"/>
      <c r="E1010" s="125"/>
      <c r="F1010" s="126"/>
      <c r="G1010" s="127"/>
      <c r="H1010" s="128" t="str">
        <f t="shared" si="48"/>
        <v/>
      </c>
      <c r="I1010" s="129"/>
      <c r="J1010" s="130" t="s">
        <v>27</v>
      </c>
      <c r="L1010" s="75">
        <f>G1010*(1-'FORM-I'!$V$22/100)</f>
        <v>0</v>
      </c>
    </row>
    <row r="1011" spans="2:12" hidden="1">
      <c r="B1011" s="122"/>
      <c r="C1011" s="123"/>
      <c r="D1011" s="124"/>
      <c r="E1011" s="125"/>
      <c r="F1011" s="126"/>
      <c r="G1011" s="127"/>
      <c r="H1011" s="128" t="str">
        <f t="shared" si="48"/>
        <v/>
      </c>
      <c r="I1011" s="129"/>
      <c r="J1011" s="130" t="s">
        <v>27</v>
      </c>
      <c r="L1011" s="75">
        <f>G1011*(1-'FORM-I'!$V$22/100)</f>
        <v>0</v>
      </c>
    </row>
    <row r="1012" spans="2:12" hidden="1">
      <c r="B1012" s="122"/>
      <c r="C1012" s="123"/>
      <c r="D1012" s="124"/>
      <c r="E1012" s="125"/>
      <c r="F1012" s="126"/>
      <c r="G1012" s="127"/>
      <c r="H1012" s="128" t="str">
        <f t="shared" si="48"/>
        <v/>
      </c>
      <c r="I1012" s="129"/>
      <c r="J1012" s="130" t="s">
        <v>27</v>
      </c>
      <c r="L1012" s="75">
        <f>G1012*(1-'FORM-I'!$V$22/100)</f>
        <v>0</v>
      </c>
    </row>
    <row r="1013" spans="2:12" hidden="1">
      <c r="B1013" s="122"/>
      <c r="C1013" s="123"/>
      <c r="D1013" s="124"/>
      <c r="E1013" s="125"/>
      <c r="F1013" s="126"/>
      <c r="G1013" s="127"/>
      <c r="H1013" s="128" t="str">
        <f t="shared" si="48"/>
        <v/>
      </c>
      <c r="I1013" s="129"/>
      <c r="J1013" s="130" t="s">
        <v>27</v>
      </c>
      <c r="L1013" s="75">
        <f>G1013*(1-'FORM-I'!$V$22/100)</f>
        <v>0</v>
      </c>
    </row>
    <row r="1014" spans="2:12" hidden="1">
      <c r="B1014" s="122"/>
      <c r="C1014" s="123"/>
      <c r="D1014" s="124"/>
      <c r="E1014" s="125"/>
      <c r="F1014" s="126"/>
      <c r="G1014" s="127"/>
      <c r="H1014" s="128" t="str">
        <f t="shared" si="48"/>
        <v/>
      </c>
      <c r="I1014" s="129"/>
      <c r="J1014" s="130" t="s">
        <v>27</v>
      </c>
      <c r="L1014" s="75">
        <f>G1014*(1-'FORM-I'!$V$22/100)</f>
        <v>0</v>
      </c>
    </row>
    <row r="1015" spans="2:12" hidden="1">
      <c r="B1015" s="122"/>
      <c r="C1015" s="123"/>
      <c r="D1015" s="124"/>
      <c r="E1015" s="125"/>
      <c r="F1015" s="126"/>
      <c r="G1015" s="127"/>
      <c r="H1015" s="128" t="str">
        <f t="shared" si="48"/>
        <v/>
      </c>
      <c r="I1015" s="129"/>
      <c r="J1015" s="130" t="s">
        <v>27</v>
      </c>
      <c r="L1015" s="75">
        <f>G1015*(1-'FORM-I'!$V$22/100)</f>
        <v>0</v>
      </c>
    </row>
    <row r="1016" spans="2:12" hidden="1">
      <c r="B1016" s="122">
        <v>9099540</v>
      </c>
      <c r="C1016" s="123" t="s">
        <v>793</v>
      </c>
      <c r="D1016" s="124">
        <v>50</v>
      </c>
      <c r="E1016" s="125"/>
      <c r="F1016" s="126"/>
      <c r="G1016" s="127">
        <v>7.2138999999999998</v>
      </c>
      <c r="H1016" s="128" t="str">
        <f t="shared" si="48"/>
        <v>CZK</v>
      </c>
      <c r="I1016" s="129"/>
      <c r="J1016" s="130" t="s">
        <v>27</v>
      </c>
      <c r="L1016" s="75">
        <f>G1016*(1-'FORM-I'!$V$22/100)</f>
        <v>7.2138999999999998</v>
      </c>
    </row>
    <row r="1017" spans="2:12" hidden="1">
      <c r="B1017" s="122">
        <v>9099600</v>
      </c>
      <c r="C1017" s="123" t="s">
        <v>794</v>
      </c>
      <c r="D1017" s="124">
        <v>50</v>
      </c>
      <c r="E1017" s="125"/>
      <c r="F1017" s="126"/>
      <c r="G1017" s="127">
        <v>6.2830000000000004</v>
      </c>
      <c r="H1017" s="128" t="str">
        <f t="shared" si="48"/>
        <v>CZK</v>
      </c>
      <c r="I1017" s="129"/>
      <c r="J1017" s="130" t="s">
        <v>27</v>
      </c>
      <c r="L1017" s="75">
        <f>G1017*(1-'FORM-I'!$V$22/100)</f>
        <v>6.2830000000000004</v>
      </c>
    </row>
    <row r="1018" spans="2:12" hidden="1">
      <c r="B1018" s="122">
        <v>9099660</v>
      </c>
      <c r="C1018" s="123" t="s">
        <v>795</v>
      </c>
      <c r="D1018" s="124">
        <v>50</v>
      </c>
      <c r="E1018" s="125"/>
      <c r="F1018" s="126"/>
      <c r="G1018" s="127">
        <v>6.5156999999999998</v>
      </c>
      <c r="H1018" s="128" t="str">
        <f t="shared" si="48"/>
        <v>CZK</v>
      </c>
      <c r="I1018" s="129"/>
      <c r="J1018" s="130" t="s">
        <v>27</v>
      </c>
      <c r="L1018" s="75">
        <f>G1018*(1-'FORM-I'!$V$22/100)</f>
        <v>6.5156999999999998</v>
      </c>
    </row>
    <row r="1019" spans="2:12" hidden="1">
      <c r="B1019" s="122">
        <v>9071576</v>
      </c>
      <c r="C1019" s="123" t="s">
        <v>796</v>
      </c>
      <c r="D1019" s="124">
        <v>200</v>
      </c>
      <c r="E1019" s="125"/>
      <c r="F1019" s="126"/>
      <c r="G1019" s="127">
        <v>0.40560000000000002</v>
      </c>
      <c r="H1019" s="128" t="str">
        <f t="shared" si="48"/>
        <v>CZK</v>
      </c>
      <c r="I1019" s="129"/>
      <c r="J1019" s="130" t="s">
        <v>27</v>
      </c>
      <c r="L1019" s="75">
        <f>G1019*(1-'FORM-I'!$V$22/100)</f>
        <v>0.40560000000000002</v>
      </c>
    </row>
    <row r="1020" spans="2:12" hidden="1">
      <c r="B1020" s="122">
        <v>9071671</v>
      </c>
      <c r="C1020" s="123" t="s">
        <v>797</v>
      </c>
      <c r="D1020" s="124">
        <v>200</v>
      </c>
      <c r="E1020" s="125"/>
      <c r="F1020" s="126"/>
      <c r="G1020" s="127">
        <v>0.83120000000000005</v>
      </c>
      <c r="H1020" s="128" t="str">
        <f t="shared" si="48"/>
        <v>CZK</v>
      </c>
      <c r="I1020" s="129"/>
      <c r="J1020" s="130" t="s">
        <v>27</v>
      </c>
      <c r="L1020" s="75">
        <f>G1020*(1-'FORM-I'!$V$22/100)</f>
        <v>0.83120000000000005</v>
      </c>
    </row>
    <row r="1021" spans="2:12">
      <c r="B1021" s="122"/>
      <c r="C1021" s="123"/>
      <c r="D1021" s="124"/>
      <c r="E1021" s="125"/>
      <c r="F1021" s="126"/>
      <c r="G1021" s="127"/>
      <c r="H1021" s="128"/>
      <c r="I1021" s="129"/>
      <c r="J1021" s="130" t="s">
        <v>27</v>
      </c>
    </row>
    <row r="1022" spans="2:12">
      <c r="B1022" s="122"/>
      <c r="C1022" s="123"/>
      <c r="D1022" s="124"/>
      <c r="E1022" s="125"/>
      <c r="F1022" s="126"/>
      <c r="G1022" s="127"/>
      <c r="H1022" s="128"/>
      <c r="I1022" s="129"/>
      <c r="J1022" s="130" t="s">
        <v>27</v>
      </c>
    </row>
    <row r="1023" spans="2:12">
      <c r="B1023" s="202"/>
      <c r="C1023" s="94"/>
      <c r="D1023" s="203"/>
      <c r="E1023" s="96"/>
      <c r="F1023" s="97"/>
      <c r="G1023" s="204"/>
      <c r="H1023" s="99"/>
      <c r="I1023" s="100"/>
      <c r="J1023" s="101" t="s">
        <v>27</v>
      </c>
    </row>
    <row r="1030" spans="3:7">
      <c r="C1030" s="205" t="s">
        <v>798</v>
      </c>
      <c r="D1030" s="205" t="s">
        <v>799</v>
      </c>
      <c r="G1030" s="205" t="s">
        <v>800</v>
      </c>
    </row>
    <row r="1031" spans="3:7">
      <c r="C1031" s="205"/>
      <c r="D1031" s="206"/>
      <c r="E1031" s="207"/>
      <c r="F1031" s="208"/>
      <c r="G1031" s="209"/>
    </row>
  </sheetData>
  <sheetProtection algorithmName="SHA-512" hashValue="E1Jas7plYJXTi72ZNwC6rBu5ucAuY2ZNT/ClfhuckPabAbHF29qQNBTFbwNuhY7ZqGEGdk+gKMculcdWLKxgXA==" saltValue="4kjz8shjEnRytUsU804v0Q==" spinCount="100000" sheet="1" objects="1" scenarios="1"/>
  <hyperlinks>
    <hyperlink ref="J2" location="FORM!A1" display=" Úvod" xr:uid="{B4AF0FFA-B01C-4535-860A-867590DB63D6}"/>
  </hyperlink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5B52-7E3E-4878-A49A-70C1F22AFF6F}">
  <sheetPr codeName="List6"/>
  <dimension ref="A1"/>
  <sheetViews>
    <sheetView showGridLines="0" showRowColHeaders="0" workbookViewId="0">
      <selection activeCell="A5" sqref="A5"/>
    </sheetView>
  </sheetViews>
  <sheetFormatPr defaultRowHeight="13.9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E0C6-1786-44FF-901E-56287A333C72}">
  <sheetPr codeName="List35"/>
  <dimension ref="A1:M235"/>
  <sheetViews>
    <sheetView showGridLines="0" showRowColHeaders="0" workbookViewId="0">
      <pane ySplit="1" topLeftCell="A2" activePane="bottomLeft" state="frozen"/>
      <selection pane="bottomLeft" activeCell="A2" sqref="A2"/>
    </sheetView>
  </sheetViews>
  <sheetFormatPr defaultColWidth="9" defaultRowHeight="13.9"/>
  <cols>
    <col min="1" max="1" width="9" style="5"/>
    <col min="2" max="2" width="187.875" style="5" customWidth="1"/>
    <col min="3" max="3" width="19.875" style="5" customWidth="1"/>
    <col min="4" max="4" width="9" style="5"/>
    <col min="5" max="5" width="37.5" style="17" bestFit="1" customWidth="1"/>
    <col min="6" max="6" width="2.375" style="16" customWidth="1"/>
    <col min="7" max="7" width="29.125" style="16" customWidth="1"/>
    <col min="8" max="10" width="29.125" style="5" customWidth="1"/>
    <col min="11" max="16384" width="9" style="5"/>
  </cols>
  <sheetData>
    <row r="1" spans="1:13">
      <c r="A1" s="20" t="s">
        <v>801</v>
      </c>
      <c r="E1" s="19" t="s">
        <v>802</v>
      </c>
      <c r="G1" s="30" t="s">
        <v>802</v>
      </c>
      <c r="H1" s="31" t="s">
        <v>803</v>
      </c>
      <c r="I1" s="31" t="s">
        <v>804</v>
      </c>
      <c r="J1" s="31" t="s">
        <v>805</v>
      </c>
    </row>
    <row r="2" spans="1:13" ht="14.45" thickBot="1">
      <c r="C2" s="5" t="s">
        <v>27</v>
      </c>
    </row>
    <row r="3" spans="1:13">
      <c r="C3" s="5" t="s">
        <v>27</v>
      </c>
      <c r="E3" s="27" t="str">
        <f>IF($E$1=$G$1,G3,IF($E$1=$H$1,H3,IF($E$1=$I$1,I3,IF($E$1=$J$1,J3,""))))</f>
        <v xml:space="preserve"> Základní údaje</v>
      </c>
      <c r="G3" s="21" t="s">
        <v>806</v>
      </c>
      <c r="H3" s="22" t="s">
        <v>807</v>
      </c>
      <c r="I3" s="23" t="s">
        <v>808</v>
      </c>
      <c r="J3" s="24"/>
    </row>
    <row r="4" spans="1:13">
      <c r="C4" s="5" t="s">
        <v>27</v>
      </c>
      <c r="E4" s="28" t="str">
        <f t="shared" ref="E4:E89" si="0">IF($E$1=$G$1,G4,IF($E$1=$H$1,H4,IF($E$1=$I$1,I4,IF($E$1=$J$1,J4,""))))</f>
        <v>Pokračovat na:</v>
      </c>
      <c r="G4" s="21" t="s">
        <v>809</v>
      </c>
      <c r="H4" s="22" t="s">
        <v>810</v>
      </c>
      <c r="I4" s="23" t="s">
        <v>811</v>
      </c>
      <c r="J4" s="24"/>
    </row>
    <row r="5" spans="1:13">
      <c r="C5" s="5" t="s">
        <v>27</v>
      </c>
      <c r="E5" s="28" t="str">
        <f t="shared" si="0"/>
        <v xml:space="preserve"> Úvod</v>
      </c>
      <c r="G5" s="21" t="s">
        <v>33</v>
      </c>
      <c r="H5" s="22" t="s">
        <v>33</v>
      </c>
      <c r="I5" s="23" t="s">
        <v>812</v>
      </c>
      <c r="J5" s="24"/>
    </row>
    <row r="6" spans="1:13">
      <c r="C6" s="5" t="s">
        <v>27</v>
      </c>
      <c r="E6" s="28" t="str">
        <f t="shared" si="0"/>
        <v xml:space="preserve"> Vstupní data</v>
      </c>
      <c r="G6" s="21" t="s">
        <v>813</v>
      </c>
      <c r="H6" s="22" t="s">
        <v>814</v>
      </c>
      <c r="I6" s="23" t="s">
        <v>815</v>
      </c>
      <c r="J6" s="24"/>
    </row>
    <row r="7" spans="1:13">
      <c r="C7" s="5" t="s">
        <v>27</v>
      </c>
      <c r="E7" s="28" t="str">
        <f>IF($E$1=$G$1,G7,IF($E$1=$H$1,H7,IF($E$1=$I$1,I7,IF($E$1=$J$1,J7,""))))</f>
        <v xml:space="preserve"> Výběr typu skřínky</v>
      </c>
      <c r="G7" s="21" t="s">
        <v>816</v>
      </c>
      <c r="H7" s="22" t="s">
        <v>817</v>
      </c>
      <c r="I7" s="23" t="s">
        <v>818</v>
      </c>
      <c r="J7" s="24"/>
    </row>
    <row r="8" spans="1:13">
      <c r="C8" s="5" t="s">
        <v>27</v>
      </c>
      <c r="E8" s="28" t="str">
        <f t="shared" si="0"/>
        <v xml:space="preserve"> </v>
      </c>
      <c r="G8" s="21" t="s">
        <v>27</v>
      </c>
      <c r="H8" s="22" t="s">
        <v>27</v>
      </c>
      <c r="I8" s="23"/>
      <c r="J8" s="24"/>
    </row>
    <row r="9" spans="1:13">
      <c r="C9" s="5" t="s">
        <v>27</v>
      </c>
      <c r="E9" s="28" t="str">
        <f t="shared" si="0"/>
        <v xml:space="preserve"> Objednávka</v>
      </c>
      <c r="G9" s="21" t="s">
        <v>819</v>
      </c>
      <c r="H9" s="22" t="s">
        <v>819</v>
      </c>
      <c r="I9" s="23" t="s">
        <v>820</v>
      </c>
      <c r="J9" s="24"/>
    </row>
    <row r="10" spans="1:13">
      <c r="C10" s="5" t="s">
        <v>27</v>
      </c>
      <c r="E10" s="28" t="str">
        <f t="shared" si="0"/>
        <v>Zpět na:</v>
      </c>
      <c r="G10" s="21" t="s">
        <v>821</v>
      </c>
      <c r="H10" s="22" t="s">
        <v>822</v>
      </c>
      <c r="I10" s="23" t="s">
        <v>823</v>
      </c>
      <c r="J10" s="24"/>
    </row>
    <row r="11" spans="1:13">
      <c r="C11" s="5" t="s">
        <v>27</v>
      </c>
      <c r="E11" s="28" t="str">
        <f t="shared" si="0"/>
        <v>Vpřed na:</v>
      </c>
      <c r="G11" s="21" t="s">
        <v>824</v>
      </c>
      <c r="H11" s="22" t="s">
        <v>825</v>
      </c>
      <c r="I11" s="23" t="s">
        <v>826</v>
      </c>
      <c r="J11" s="24"/>
    </row>
    <row r="12" spans="1:13">
      <c r="C12" s="5" t="s">
        <v>27</v>
      </c>
      <c r="E12" s="28" t="str">
        <f t="shared" si="0"/>
        <v>&lt;&lt;  zpět</v>
      </c>
      <c r="G12" s="21" t="s">
        <v>827</v>
      </c>
      <c r="H12" s="22" t="s">
        <v>828</v>
      </c>
      <c r="I12" s="23" t="s">
        <v>829</v>
      </c>
      <c r="J12" s="24"/>
    </row>
    <row r="13" spans="1:13">
      <c r="C13" s="5" t="s">
        <v>27</v>
      </c>
      <c r="E13" s="28" t="str">
        <f t="shared" si="0"/>
        <v>vpřed  &gt;&gt;</v>
      </c>
      <c r="G13" s="21" t="s">
        <v>830</v>
      </c>
      <c r="H13" s="22" t="s">
        <v>831</v>
      </c>
      <c r="I13" s="23" t="s">
        <v>832</v>
      </c>
      <c r="J13" s="24"/>
    </row>
    <row r="14" spans="1:13">
      <c r="C14" s="5" t="s">
        <v>27</v>
      </c>
      <c r="E14" s="28" t="str">
        <f t="shared" si="0"/>
        <v>nahoru</v>
      </c>
      <c r="G14" s="21" t="s">
        <v>833</v>
      </c>
      <c r="H14" s="22" t="s">
        <v>834</v>
      </c>
      <c r="I14" s="23" t="s">
        <v>835</v>
      </c>
      <c r="J14" s="24"/>
    </row>
    <row r="15" spans="1:13">
      <c r="C15" s="5" t="s">
        <v>27</v>
      </c>
      <c r="E15" s="28" t="str">
        <f t="shared" si="0"/>
        <v xml:space="preserve"> Základní údaje // Nápověda</v>
      </c>
      <c r="G15" s="25" t="s">
        <v>836</v>
      </c>
      <c r="H15" s="26" t="s">
        <v>837</v>
      </c>
      <c r="I15" s="23" t="s">
        <v>838</v>
      </c>
      <c r="J15" s="24"/>
    </row>
    <row r="16" spans="1:13">
      <c r="C16" s="5" t="s">
        <v>27</v>
      </c>
      <c r="E16" s="28" t="str">
        <f t="shared" si="0"/>
        <v xml:space="preserve"> Nápověda</v>
      </c>
      <c r="G16" s="25" t="s">
        <v>839</v>
      </c>
      <c r="H16" s="26" t="s">
        <v>840</v>
      </c>
      <c r="I16" s="23" t="s">
        <v>841</v>
      </c>
      <c r="J16" s="24"/>
      <c r="M16" s="13"/>
    </row>
    <row r="17" spans="3:13">
      <c r="C17" s="5" t="s">
        <v>27</v>
      </c>
      <c r="E17" s="28">
        <f t="shared" si="0"/>
        <v>0</v>
      </c>
      <c r="G17" s="21"/>
      <c r="H17" s="26"/>
      <c r="I17" s="23"/>
      <c r="J17" s="24"/>
      <c r="M17" s="13"/>
    </row>
    <row r="18" spans="3:13">
      <c r="C18" s="5" t="s">
        <v>27</v>
      </c>
      <c r="E18" s="38" t="str">
        <f t="shared" si="0"/>
        <v>WingLine L - konfigurátor</v>
      </c>
      <c r="G18" s="21" t="s">
        <v>842</v>
      </c>
      <c r="H18" s="26" t="s">
        <v>842</v>
      </c>
      <c r="I18" s="23" t="s">
        <v>842</v>
      </c>
      <c r="J18" s="24"/>
      <c r="M18" s="13"/>
    </row>
    <row r="19" spans="3:13">
      <c r="C19" s="5" t="s">
        <v>27</v>
      </c>
      <c r="E19" s="28" t="str">
        <f t="shared" si="0"/>
        <v>Zadejte vstupní údaje v mm do modrých políček</v>
      </c>
      <c r="G19" s="21" t="s">
        <v>843</v>
      </c>
      <c r="H19" s="26" t="s">
        <v>844</v>
      </c>
      <c r="I19" s="23" t="s">
        <v>845</v>
      </c>
      <c r="J19" s="24"/>
      <c r="M19" s="13"/>
    </row>
    <row r="20" spans="3:13">
      <c r="C20" s="5" t="s">
        <v>27</v>
      </c>
      <c r="E20" s="28" t="str">
        <f t="shared" si="0"/>
        <v>Pokud po vyplnění soubor uložíte, budete mít uvedené údaje nastavené jako výchozí pro další použití</v>
      </c>
      <c r="G20" s="21" t="s">
        <v>846</v>
      </c>
      <c r="H20" s="26" t="s">
        <v>847</v>
      </c>
      <c r="I20" s="23" t="s">
        <v>848</v>
      </c>
      <c r="J20" s="24"/>
      <c r="M20" s="13"/>
    </row>
    <row r="21" spans="3:13">
      <c r="C21" s="5" t="s">
        <v>27</v>
      </c>
      <c r="E21" s="28" t="str">
        <f t="shared" si="0"/>
        <v>výška křídla</v>
      </c>
      <c r="G21" s="21" t="s">
        <v>849</v>
      </c>
      <c r="H21" s="26" t="s">
        <v>850</v>
      </c>
      <c r="I21" s="23" t="s">
        <v>851</v>
      </c>
      <c r="J21" s="24"/>
      <c r="M21" s="13"/>
    </row>
    <row r="22" spans="3:13">
      <c r="C22" s="5" t="s">
        <v>27</v>
      </c>
      <c r="E22" s="28" t="str">
        <f t="shared" si="0"/>
        <v>šířka křídla</v>
      </c>
      <c r="G22" s="21" t="s">
        <v>852</v>
      </c>
      <c r="H22" s="26" t="s">
        <v>853</v>
      </c>
      <c r="I22" s="23" t="s">
        <v>851</v>
      </c>
      <c r="J22" s="24"/>
      <c r="M22" s="13"/>
    </row>
    <row r="23" spans="3:13">
      <c r="C23" s="5" t="s">
        <v>27</v>
      </c>
      <c r="E23" s="28" t="str">
        <f t="shared" si="0"/>
        <v>tloušťka křídla</v>
      </c>
      <c r="G23" s="21" t="s">
        <v>854</v>
      </c>
      <c r="H23" s="26" t="s">
        <v>855</v>
      </c>
      <c r="I23" s="23" t="s">
        <v>851</v>
      </c>
      <c r="J23" s="24"/>
      <c r="M23" s="13"/>
    </row>
    <row r="24" spans="3:13">
      <c r="E24" s="28" t="str">
        <f t="shared" si="0"/>
        <v>materiál dveří</v>
      </c>
      <c r="G24" s="21" t="s">
        <v>856</v>
      </c>
      <c r="H24" s="26" t="s">
        <v>857</v>
      </c>
      <c r="I24" s="23" t="s">
        <v>851</v>
      </c>
      <c r="J24" s="24"/>
      <c r="M24" s="13"/>
    </row>
    <row r="25" spans="3:13">
      <c r="E25" s="28" t="str">
        <f t="shared" si="0"/>
        <v>barevné provedení</v>
      </c>
      <c r="G25" s="21" t="s">
        <v>858</v>
      </c>
      <c r="H25" s="26" t="s">
        <v>859</v>
      </c>
      <c r="I25" s="23" t="s">
        <v>851</v>
      </c>
      <c r="J25" s="24"/>
      <c r="M25" s="13"/>
    </row>
    <row r="26" spans="3:13">
      <c r="C26" s="5" t="s">
        <v>27</v>
      </c>
      <c r="E26" s="28" t="str">
        <f t="shared" si="0"/>
        <v>počet křídel</v>
      </c>
      <c r="G26" s="21" t="s">
        <v>860</v>
      </c>
      <c r="H26" s="26" t="s">
        <v>861</v>
      </c>
      <c r="I26" s="23" t="s">
        <v>851</v>
      </c>
      <c r="J26" s="24"/>
      <c r="M26" s="13"/>
    </row>
    <row r="27" spans="3:13">
      <c r="C27" s="5" t="s">
        <v>27</v>
      </c>
      <c r="E27" s="28" t="str">
        <f t="shared" si="0"/>
        <v>4-křídlová skříň</v>
      </c>
      <c r="G27" s="21" t="s">
        <v>862</v>
      </c>
      <c r="H27" s="26" t="s">
        <v>863</v>
      </c>
      <c r="I27" s="23" t="s">
        <v>851</v>
      </c>
      <c r="J27" s="24"/>
      <c r="M27" s="13"/>
    </row>
    <row r="28" spans="3:13">
      <c r="C28" s="5" t="s">
        <v>27</v>
      </c>
      <c r="E28" s="28" t="str">
        <f t="shared" si="0"/>
        <v>2-křídlová skříň, otvírání vlevo</v>
      </c>
      <c r="G28" s="21" t="s">
        <v>864</v>
      </c>
      <c r="H28" s="26" t="s">
        <v>865</v>
      </c>
      <c r="I28" s="23" t="s">
        <v>851</v>
      </c>
      <c r="J28" s="24"/>
      <c r="M28" s="13"/>
    </row>
    <row r="29" spans="3:13">
      <c r="C29" s="5" t="s">
        <v>27</v>
      </c>
      <c r="E29" s="28" t="str">
        <f t="shared" si="0"/>
        <v>2-křídlová skříň, otvírání vpravo</v>
      </c>
      <c r="G29" s="21" t="s">
        <v>866</v>
      </c>
      <c r="H29" s="26" t="s">
        <v>867</v>
      </c>
      <c r="I29" s="23" t="s">
        <v>851</v>
      </c>
      <c r="J29" s="24"/>
      <c r="M29" s="13"/>
    </row>
    <row r="30" spans="3:13">
      <c r="C30" s="5" t="s">
        <v>27</v>
      </c>
      <c r="E30" s="28" t="str">
        <f t="shared" si="0"/>
        <v>Vybrané</v>
      </c>
      <c r="G30" s="21" t="s">
        <v>868</v>
      </c>
      <c r="H30" s="26" t="s">
        <v>869</v>
      </c>
      <c r="I30" s="23" t="s">
        <v>870</v>
      </c>
      <c r="J30" s="24"/>
    </row>
    <row r="31" spans="3:13">
      <c r="C31" s="5" t="s">
        <v>27</v>
      </c>
      <c r="E31" s="28" t="str">
        <f t="shared" si="0"/>
        <v>Bez otvírací jednotky</v>
      </c>
      <c r="G31" s="25" t="s">
        <v>871</v>
      </c>
      <c r="H31" s="22" t="s">
        <v>872</v>
      </c>
      <c r="I31" s="23" t="s">
        <v>851</v>
      </c>
      <c r="J31" s="24"/>
    </row>
    <row r="32" spans="3:13">
      <c r="E32" s="28" t="str">
        <f t="shared" si="0"/>
        <v>Způsob otevírání a zavíraní</v>
      </c>
      <c r="G32" s="25" t="s">
        <v>873</v>
      </c>
      <c r="H32" s="22" t="s">
        <v>874</v>
      </c>
      <c r="I32" s="23" t="s">
        <v>851</v>
      </c>
      <c r="J32" s="24"/>
    </row>
    <row r="33" spans="3:10">
      <c r="E33" s="28" t="str">
        <f t="shared" si="0"/>
        <v>Lehkým zatlačením na dveře se tyto automaticky otevřou, zavírají se pak ručně</v>
      </c>
      <c r="G33" s="25" t="s">
        <v>875</v>
      </c>
      <c r="H33" s="22" t="s">
        <v>876</v>
      </c>
      <c r="I33" s="23" t="s">
        <v>851</v>
      </c>
      <c r="J33" s="24"/>
    </row>
    <row r="34" spans="3:10">
      <c r="E34" s="28" t="str">
        <f t="shared" si="0"/>
        <v>Lehkým tahem za úchytku spustíte samočinné otvírání. Do zavřené polohy se zatlačí ručně</v>
      </c>
      <c r="G34" s="25" t="s">
        <v>877</v>
      </c>
      <c r="H34" s="22" t="s">
        <v>878</v>
      </c>
      <c r="I34" s="23" t="s">
        <v>851</v>
      </c>
      <c r="J34" s="24"/>
    </row>
    <row r="35" spans="3:10">
      <c r="E35" s="28" t="str">
        <f t="shared" si="0"/>
        <v>Krátkým tahem za úchytku spustíte samočinné otvírání. Do zavřené polohy se vrací tlumeně</v>
      </c>
      <c r="G35" s="25" t="s">
        <v>879</v>
      </c>
      <c r="H35" s="22" t="s">
        <v>880</v>
      </c>
      <c r="I35" s="23" t="s">
        <v>851</v>
      </c>
      <c r="J35" s="24"/>
    </row>
    <row r="36" spans="3:10">
      <c r="C36" s="5" t="s">
        <v>27</v>
      </c>
      <c r="E36" s="28" t="str">
        <f t="shared" si="0"/>
        <v>Dveře se otvírají a zavírají ručně</v>
      </c>
      <c r="G36" s="25" t="s">
        <v>881</v>
      </c>
      <c r="H36" s="26" t="s">
        <v>882</v>
      </c>
      <c r="I36" s="23" t="s">
        <v>851</v>
      </c>
      <c r="J36" s="24"/>
    </row>
    <row r="37" spans="3:10">
      <c r="C37" s="5" t="s">
        <v>27</v>
      </c>
      <c r="E37" s="28" t="str">
        <f t="shared" si="0"/>
        <v>výška křídla od 500 do 2.600 mm</v>
      </c>
      <c r="G37" s="21" t="s">
        <v>883</v>
      </c>
      <c r="H37" s="26" t="s">
        <v>884</v>
      </c>
      <c r="I37" s="23" t="s">
        <v>851</v>
      </c>
      <c r="J37" s="24"/>
    </row>
    <row r="38" spans="3:10">
      <c r="C38" s="5" t="s">
        <v>27</v>
      </c>
      <c r="E38" s="28" t="str">
        <f t="shared" si="0"/>
        <v>šířka křídla od 250 do 600 mm</v>
      </c>
      <c r="G38" s="21" t="s">
        <v>885</v>
      </c>
      <c r="H38" s="26" t="s">
        <v>886</v>
      </c>
      <c r="I38" s="23" t="s">
        <v>851</v>
      </c>
      <c r="J38" s="24"/>
    </row>
    <row r="39" spans="3:10">
      <c r="E39" s="28" t="str">
        <f t="shared" si="0"/>
        <v>tloušťka křídla od 16 do 25 mm</v>
      </c>
      <c r="G39" s="21" t="s">
        <v>887</v>
      </c>
      <c r="H39" s="26" t="s">
        <v>888</v>
      </c>
      <c r="I39" s="23"/>
      <c r="J39" s="24"/>
    </row>
    <row r="40" spans="3:10">
      <c r="E40" s="28" t="str">
        <f t="shared" si="0"/>
        <v>hmotnost jednoho křídla</v>
      </c>
      <c r="G40" s="21" t="s">
        <v>889</v>
      </c>
      <c r="H40" s="26" t="s">
        <v>890</v>
      </c>
      <c r="I40" s="23"/>
      <c r="J40" s="24"/>
    </row>
    <row r="41" spans="3:10">
      <c r="E41" s="28" t="str">
        <f t="shared" si="0"/>
        <v>Hmotnost křídla je přesáhnutá !</v>
      </c>
      <c r="G41" s="21" t="s">
        <v>891</v>
      </c>
      <c r="H41" s="26" t="s">
        <v>892</v>
      </c>
      <c r="I41" s="23"/>
      <c r="J41" s="24"/>
    </row>
    <row r="42" spans="3:10">
      <c r="E42" s="28" t="str">
        <f t="shared" si="0"/>
        <v>Udělej úpravy v zadání</v>
      </c>
      <c r="G42" s="21" t="s">
        <v>893</v>
      </c>
      <c r="H42" s="26" t="s">
        <v>894</v>
      </c>
      <c r="I42" s="23"/>
      <c r="J42" s="24"/>
    </row>
    <row r="43" spans="3:10">
      <c r="C43" s="5" t="s">
        <v>27</v>
      </c>
      <c r="E43" s="28" t="str">
        <f t="shared" si="0"/>
        <v>Výběr aretace dveří</v>
      </c>
      <c r="G43" s="21" t="s">
        <v>895</v>
      </c>
      <c r="H43" s="26" t="s">
        <v>896</v>
      </c>
      <c r="I43" s="23" t="s">
        <v>851</v>
      </c>
      <c r="J43" s="24"/>
    </row>
    <row r="44" spans="3:10">
      <c r="C44" s="5" t="s">
        <v>27</v>
      </c>
      <c r="E44" s="28" t="str">
        <f t="shared" si="0"/>
        <v>Aretace mechanická</v>
      </c>
      <c r="G44" s="21" t="s">
        <v>897</v>
      </c>
      <c r="H44" s="22" t="s">
        <v>898</v>
      </c>
      <c r="I44" s="23" t="s">
        <v>851</v>
      </c>
      <c r="J44" s="24"/>
    </row>
    <row r="45" spans="3:10">
      <c r="C45" s="5" t="s">
        <v>27</v>
      </c>
      <c r="E45" s="28" t="str">
        <f t="shared" si="0"/>
        <v>Aretace magnetická Standard</v>
      </c>
      <c r="G45" s="21" t="s">
        <v>899</v>
      </c>
      <c r="H45" s="26" t="s">
        <v>900</v>
      </c>
      <c r="I45" s="23" t="s">
        <v>851</v>
      </c>
      <c r="J45" s="24"/>
    </row>
    <row r="46" spans="3:10">
      <c r="E46" s="28" t="str">
        <f t="shared" si="0"/>
        <v>jenom šedá</v>
      </c>
      <c r="G46" s="21" t="s">
        <v>901</v>
      </c>
      <c r="H46" s="26" t="s">
        <v>902</v>
      </c>
      <c r="I46" s="23" t="s">
        <v>851</v>
      </c>
      <c r="J46" s="24"/>
    </row>
    <row r="47" spans="3:10">
      <c r="E47" s="28" t="str">
        <f t="shared" si="0"/>
        <v>jenom bílá nebo černá</v>
      </c>
      <c r="G47" s="21" t="s">
        <v>903</v>
      </c>
      <c r="H47" s="26" t="s">
        <v>904</v>
      </c>
      <c r="I47" s="23" t="s">
        <v>851</v>
      </c>
      <c r="J47" s="24"/>
    </row>
    <row r="48" spans="3:10">
      <c r="C48" s="5" t="s">
        <v>27</v>
      </c>
      <c r="E48" s="28" t="str">
        <f t="shared" si="0"/>
        <v>Aretace magnetická Design</v>
      </c>
      <c r="G48" s="21" t="s">
        <v>905</v>
      </c>
      <c r="H48" s="26" t="s">
        <v>906</v>
      </c>
      <c r="I48" s="23" t="s">
        <v>851</v>
      </c>
      <c r="J48" s="24"/>
    </row>
    <row r="49" spans="3:10">
      <c r="C49" s="5" t="s">
        <v>27</v>
      </c>
      <c r="E49" s="28" t="str">
        <f t="shared" si="0"/>
        <v>Pro variantu:</v>
      </c>
      <c r="G49" s="21" t="s">
        <v>907</v>
      </c>
      <c r="H49" s="26" t="s">
        <v>908</v>
      </c>
      <c r="I49" s="23" t="s">
        <v>851</v>
      </c>
      <c r="J49" s="24"/>
    </row>
    <row r="50" spans="3:10">
      <c r="C50" s="5" t="s">
        <v>27</v>
      </c>
      <c r="E50" s="28" t="str">
        <f t="shared" si="0"/>
        <v>bez úchytky</v>
      </c>
      <c r="G50" s="21" t="s">
        <v>909</v>
      </c>
      <c r="H50" s="26" t="s">
        <v>909</v>
      </c>
      <c r="I50" s="23" t="s">
        <v>851</v>
      </c>
      <c r="J50" s="24"/>
    </row>
    <row r="51" spans="3:10">
      <c r="C51" s="5" t="s">
        <v>27</v>
      </c>
      <c r="E51" s="28" t="str">
        <f t="shared" si="0"/>
        <v>s úchytkou</v>
      </c>
      <c r="G51" s="21" t="s">
        <v>910</v>
      </c>
      <c r="H51" s="26" t="s">
        <v>910</v>
      </c>
      <c r="I51" s="23" t="s">
        <v>851</v>
      </c>
      <c r="J51" s="24"/>
    </row>
    <row r="52" spans="3:10">
      <c r="C52" s="5" t="s">
        <v>27</v>
      </c>
      <c r="E52" s="28" t="str">
        <f t="shared" si="0"/>
        <v>mechanická</v>
      </c>
      <c r="G52" s="21" t="s">
        <v>911</v>
      </c>
      <c r="H52" s="22" t="s">
        <v>911</v>
      </c>
      <c r="I52" s="23" t="s">
        <v>851</v>
      </c>
      <c r="J52" s="24"/>
    </row>
    <row r="53" spans="3:10">
      <c r="C53" s="5" t="s">
        <v>27</v>
      </c>
      <c r="E53" s="28" t="str">
        <f t="shared" si="0"/>
        <v>magnetická Standard</v>
      </c>
      <c r="G53" s="21" t="s">
        <v>912</v>
      </c>
      <c r="H53" s="26" t="s">
        <v>912</v>
      </c>
      <c r="I53" s="23" t="s">
        <v>851</v>
      </c>
      <c r="J53" s="24"/>
    </row>
    <row r="54" spans="3:10">
      <c r="C54" s="5" t="s">
        <v>27</v>
      </c>
      <c r="E54" s="28" t="str">
        <f>IF($E$1=$G$1,G54,IF($E$1=$H$1,H54,IF($E$1=$I$1,I54,IF($E$1=$J$1,J54,""))))</f>
        <v>magnetická Design</v>
      </c>
      <c r="G54" s="21" t="s">
        <v>913</v>
      </c>
      <c r="H54" s="26" t="s">
        <v>913</v>
      </c>
      <c r="I54" s="23" t="s">
        <v>851</v>
      </c>
      <c r="J54" s="24"/>
    </row>
    <row r="55" spans="3:10">
      <c r="C55" s="5" t="s">
        <v>27</v>
      </c>
      <c r="E55" s="28" t="str">
        <f t="shared" si="0"/>
        <v>vodorovná mezistěna ustupuje o 3 mm od hrany boku</v>
      </c>
      <c r="G55" s="21" t="s">
        <v>914</v>
      </c>
      <c r="H55" s="26" t="s">
        <v>915</v>
      </c>
      <c r="I55" s="23" t="s">
        <v>851</v>
      </c>
      <c r="J55" s="24"/>
    </row>
    <row r="56" spans="3:10">
      <c r="C56" s="5" t="s">
        <v>27</v>
      </c>
      <c r="E56" s="28" t="str">
        <f t="shared" si="0"/>
        <v>vodorovná mezistěna ustupuje o 13 mm od hrany boku</v>
      </c>
      <c r="G56" s="21" t="s">
        <v>916</v>
      </c>
      <c r="H56" s="26" t="s">
        <v>917</v>
      </c>
      <c r="I56" s="23" t="s">
        <v>851</v>
      </c>
      <c r="J56" s="24"/>
    </row>
    <row r="57" spans="3:10">
      <c r="C57" s="5" t="s">
        <v>27</v>
      </c>
      <c r="E57" s="28" t="str">
        <f t="shared" si="0"/>
        <v>vodorovná mezistěna ustupuje o 8 mm od hrany boku</v>
      </c>
      <c r="G57" s="21" t="s">
        <v>918</v>
      </c>
      <c r="H57" s="26" t="s">
        <v>919</v>
      </c>
      <c r="I57" s="23" t="s">
        <v>851</v>
      </c>
      <c r="J57" s="24"/>
    </row>
    <row r="58" spans="3:10">
      <c r="C58" s="5" t="s">
        <v>27</v>
      </c>
      <c r="E58" s="28" t="str">
        <f t="shared" si="0"/>
        <v>Pro vybraný způsob otevírání není potřebná žádná aretace</v>
      </c>
      <c r="G58" s="21" t="s">
        <v>920</v>
      </c>
      <c r="H58" s="26" t="s">
        <v>921</v>
      </c>
      <c r="I58" s="23" t="s">
        <v>851</v>
      </c>
      <c r="J58" s="24"/>
    </row>
    <row r="59" spans="3:10">
      <c r="C59" s="5" t="s">
        <v>27</v>
      </c>
      <c r="E59" s="28" t="str">
        <f t="shared" si="0"/>
        <v>Nemáte vyplněná všechna pole!</v>
      </c>
      <c r="G59" s="21" t="s">
        <v>922</v>
      </c>
      <c r="H59" s="26" t="s">
        <v>923</v>
      </c>
      <c r="I59" s="23" t="s">
        <v>924</v>
      </c>
      <c r="J59" s="24"/>
    </row>
    <row r="60" spans="3:10">
      <c r="C60" s="5" t="s">
        <v>27</v>
      </c>
      <c r="E60" s="28" t="str">
        <f t="shared" si="0"/>
        <v>OK - všechna potřebná pole jsou vyplněná</v>
      </c>
      <c r="G60" s="21" t="s">
        <v>925</v>
      </c>
      <c r="H60" s="26" t="s">
        <v>926</v>
      </c>
      <c r="I60" s="23" t="s">
        <v>927</v>
      </c>
      <c r="J60" s="24"/>
    </row>
    <row r="61" spans="3:10">
      <c r="C61" s="5" t="s">
        <v>27</v>
      </c>
      <c r="E61" s="28">
        <f t="shared" si="0"/>
        <v>0</v>
      </c>
      <c r="G61" s="21"/>
      <c r="H61" s="26"/>
      <c r="I61" s="23"/>
      <c r="J61" s="24"/>
    </row>
    <row r="62" spans="3:10">
      <c r="E62" s="28" t="str">
        <f t="shared" si="0"/>
        <v>Středové skládací závěsy</v>
      </c>
      <c r="G62" s="21" t="s">
        <v>928</v>
      </c>
      <c r="H62" s="26" t="s">
        <v>929</v>
      </c>
      <c r="I62" s="23" t="s">
        <v>851</v>
      </c>
      <c r="J62" s="24"/>
    </row>
    <row r="63" spans="3:10">
      <c r="E63" s="28" t="str">
        <f t="shared" si="0"/>
        <v>miskový seřiditelný na vruty</v>
      </c>
      <c r="G63" s="21" t="s">
        <v>930</v>
      </c>
      <c r="H63" s="26" t="s">
        <v>931</v>
      </c>
      <c r="I63" s="23" t="s">
        <v>851</v>
      </c>
      <c r="J63" s="24"/>
    </row>
    <row r="64" spans="3:10">
      <c r="E64" s="28" t="str">
        <f t="shared" si="0"/>
        <v>miskový seřiditelný s hmoždinami</v>
      </c>
      <c r="G64" s="21" t="s">
        <v>932</v>
      </c>
      <c r="H64" s="26" t="s">
        <v>933</v>
      </c>
      <c r="I64" s="23" t="s">
        <v>851</v>
      </c>
      <c r="J64" s="24"/>
    </row>
    <row r="65" spans="3:10">
      <c r="E65" s="28" t="str">
        <f t="shared" si="0"/>
        <v>rychlomontážní seřiditelný</v>
      </c>
      <c r="G65" s="21" t="s">
        <v>934</v>
      </c>
      <c r="H65" s="26" t="s">
        <v>935</v>
      </c>
      <c r="I65" s="23" t="s">
        <v>851</v>
      </c>
      <c r="J65" s="24"/>
    </row>
    <row r="66" spans="3:10">
      <c r="E66" s="28" t="str">
        <f t="shared" si="0"/>
        <v>rychlomontážní standardní</v>
      </c>
      <c r="G66" s="21" t="s">
        <v>936</v>
      </c>
      <c r="H66" s="26" t="s">
        <v>937</v>
      </c>
      <c r="I66" s="23" t="s">
        <v>851</v>
      </c>
      <c r="J66" s="24"/>
    </row>
    <row r="67" spans="3:10">
      <c r="E67" s="28" t="str">
        <f t="shared" si="0"/>
        <v>nastavení mezery +/- 2 mm</v>
      </c>
      <c r="G67" s="21" t="s">
        <v>938</v>
      </c>
      <c r="H67" s="26" t="s">
        <v>939</v>
      </c>
      <c r="I67" s="23" t="s">
        <v>851</v>
      </c>
      <c r="J67" s="24"/>
    </row>
    <row r="68" spans="3:10">
      <c r="E68" s="28" t="str">
        <f t="shared" si="0"/>
        <v>nastavení mezery +/- 1 mm</v>
      </c>
      <c r="G68" s="21" t="s">
        <v>940</v>
      </c>
      <c r="H68" s="26" t="s">
        <v>941</v>
      </c>
      <c r="I68" s="23" t="s">
        <v>851</v>
      </c>
      <c r="J68" s="24"/>
    </row>
    <row r="69" spans="3:10">
      <c r="E69" s="28" t="str">
        <f t="shared" si="0"/>
        <v>nastavení výšky +/- 2 mm</v>
      </c>
      <c r="G69" s="21" t="s">
        <v>942</v>
      </c>
      <c r="H69" s="26" t="s">
        <v>943</v>
      </c>
      <c r="I69" s="23" t="s">
        <v>851</v>
      </c>
      <c r="J69" s="24"/>
    </row>
    <row r="70" spans="3:10">
      <c r="E70" s="28" t="str">
        <f t="shared" si="0"/>
        <v>nastavení mezery = NELZE</v>
      </c>
      <c r="G70" s="21" t="s">
        <v>944</v>
      </c>
      <c r="H70" s="26" t="s">
        <v>945</v>
      </c>
      <c r="I70" s="23" t="s">
        <v>851</v>
      </c>
      <c r="J70" s="24"/>
    </row>
    <row r="71" spans="3:10">
      <c r="E71" s="28" t="str">
        <f t="shared" si="0"/>
        <v>nastavení výšky = NELZE</v>
      </c>
      <c r="G71" s="21" t="s">
        <v>946</v>
      </c>
      <c r="H71" s="26" t="s">
        <v>947</v>
      </c>
      <c r="I71" s="23" t="s">
        <v>851</v>
      </c>
      <c r="J71" s="24"/>
    </row>
    <row r="72" spans="3:10">
      <c r="E72" s="28">
        <f t="shared" si="0"/>
        <v>0</v>
      </c>
      <c r="G72" s="21"/>
      <c r="H72" s="26"/>
      <c r="I72" s="23"/>
      <c r="J72" s="24"/>
    </row>
    <row r="73" spans="3:10">
      <c r="C73" s="5" t="s">
        <v>27</v>
      </c>
      <c r="E73" s="28" t="str">
        <f t="shared" si="0"/>
        <v>Poloha spodního profilu</v>
      </c>
      <c r="G73" s="21" t="s">
        <v>948</v>
      </c>
      <c r="H73" s="26" t="s">
        <v>949</v>
      </c>
      <c r="I73" s="23" t="s">
        <v>851</v>
      </c>
      <c r="J73" s="24"/>
    </row>
    <row r="74" spans="3:10">
      <c r="E74" s="28" t="str">
        <f t="shared" si="0"/>
        <v>spodní profil</v>
      </c>
      <c r="G74" s="21" t="s">
        <v>950</v>
      </c>
      <c r="H74" s="26" t="s">
        <v>951</v>
      </c>
      <c r="I74" s="23" t="s">
        <v>851</v>
      </c>
      <c r="J74" s="24"/>
    </row>
    <row r="75" spans="3:10">
      <c r="C75" s="5" t="s">
        <v>27</v>
      </c>
      <c r="E75" s="28" t="str">
        <f t="shared" si="0"/>
        <v>pod dnem</v>
      </c>
      <c r="G75" s="21" t="s">
        <v>952</v>
      </c>
      <c r="H75" s="26" t="s">
        <v>953</v>
      </c>
      <c r="I75" s="23" t="s">
        <v>851</v>
      </c>
      <c r="J75" s="24"/>
    </row>
    <row r="76" spans="3:10">
      <c r="C76" s="5" t="s">
        <v>27</v>
      </c>
      <c r="E76" s="28" t="str">
        <f t="shared" si="0"/>
        <v>na dně</v>
      </c>
      <c r="G76" s="21" t="s">
        <v>954</v>
      </c>
      <c r="H76" s="22" t="s">
        <v>955</v>
      </c>
      <c r="I76" s="23" t="s">
        <v>851</v>
      </c>
      <c r="J76" s="24"/>
    </row>
    <row r="77" spans="3:10">
      <c r="C77" s="5" t="s">
        <v>27</v>
      </c>
      <c r="E77" s="28" t="str">
        <f t="shared" si="0"/>
        <v>bez spodního profilu</v>
      </c>
      <c r="G77" s="21" t="s">
        <v>956</v>
      </c>
      <c r="H77" s="22" t="s">
        <v>957</v>
      </c>
      <c r="I77" s="23" t="s">
        <v>851</v>
      </c>
      <c r="J77" s="24"/>
    </row>
    <row r="78" spans="3:10">
      <c r="C78" s="5" t="s">
        <v>27</v>
      </c>
      <c r="E78" s="28" t="str">
        <f t="shared" si="0"/>
        <v>standardní řešení</v>
      </c>
      <c r="G78" s="25" t="s">
        <v>958</v>
      </c>
      <c r="H78" s="26" t="s">
        <v>959</v>
      </c>
      <c r="I78" s="23" t="s">
        <v>851</v>
      </c>
      <c r="J78" s="24"/>
    </row>
    <row r="79" spans="3:10">
      <c r="C79" s="5" t="s">
        <v>27</v>
      </c>
      <c r="E79" s="28" t="str">
        <f t="shared" si="0"/>
        <v>v tomto případě se kvůli spodnímu vozíku objednává opačná sada (pravá vers.levá) a horní vozík se správné otočí</v>
      </c>
      <c r="G79" s="21" t="s">
        <v>960</v>
      </c>
      <c r="H79" s="22" t="s">
        <v>961</v>
      </c>
      <c r="I79" s="23" t="s">
        <v>851</v>
      </c>
      <c r="J79" s="24"/>
    </row>
    <row r="80" spans="3:10">
      <c r="C80" s="5" t="s">
        <v>27</v>
      </c>
      <c r="E80" s="28" t="str">
        <f t="shared" si="0"/>
        <v>řešení bez spodního profilu ve spojení s Push to move NEDOPORUČUJEME!</v>
      </c>
      <c r="G80" s="21" t="s">
        <v>962</v>
      </c>
      <c r="H80" s="22" t="s">
        <v>963</v>
      </c>
      <c r="I80" s="23" t="s">
        <v>851</v>
      </c>
      <c r="J80" s="24"/>
    </row>
    <row r="81" spans="3:10">
      <c r="C81" s="5" t="s">
        <v>27</v>
      </c>
      <c r="E81" s="28">
        <f t="shared" si="0"/>
        <v>0</v>
      </c>
      <c r="G81" s="21"/>
      <c r="H81" s="26"/>
      <c r="I81" s="23"/>
      <c r="J81" s="24"/>
    </row>
    <row r="82" spans="3:10">
      <c r="E82" s="28" t="str">
        <f t="shared" si="0"/>
        <v>stříbrná</v>
      </c>
      <c r="G82" s="21" t="s">
        <v>964</v>
      </c>
      <c r="H82" s="26" t="s">
        <v>965</v>
      </c>
      <c r="I82" s="23" t="s">
        <v>851</v>
      </c>
      <c r="J82" s="24"/>
    </row>
    <row r="83" spans="3:10">
      <c r="E83" s="28" t="str">
        <f t="shared" si="0"/>
        <v>bílá</v>
      </c>
      <c r="G83" s="21" t="s">
        <v>966</v>
      </c>
      <c r="H83" s="26" t="s">
        <v>967</v>
      </c>
      <c r="I83" s="23" t="s">
        <v>851</v>
      </c>
      <c r="J83" s="24"/>
    </row>
    <row r="84" spans="3:10">
      <c r="E84" s="28" t="str">
        <f t="shared" si="0"/>
        <v>antracit</v>
      </c>
      <c r="G84" s="21" t="s">
        <v>968</v>
      </c>
      <c r="H84" s="26" t="s">
        <v>968</v>
      </c>
      <c r="I84" s="23" t="s">
        <v>851</v>
      </c>
      <c r="J84" s="24"/>
    </row>
    <row r="85" spans="3:10">
      <c r="E85" s="28" t="str">
        <f t="shared" si="0"/>
        <v>laminovaná deska</v>
      </c>
      <c r="G85" s="21" t="s">
        <v>969</v>
      </c>
      <c r="H85" s="26" t="s">
        <v>970</v>
      </c>
      <c r="I85" s="23" t="s">
        <v>851</v>
      </c>
      <c r="J85" s="24"/>
    </row>
    <row r="86" spans="3:10">
      <c r="E86" s="28" t="str">
        <f t="shared" si="0"/>
        <v>MDF deska</v>
      </c>
      <c r="G86" s="21" t="s">
        <v>971</v>
      </c>
      <c r="H86" s="26" t="s">
        <v>972</v>
      </c>
      <c r="I86" s="23" t="s">
        <v>851</v>
      </c>
      <c r="J86" s="24"/>
    </row>
    <row r="87" spans="3:10">
      <c r="E87" s="28">
        <f t="shared" si="0"/>
        <v>0</v>
      </c>
      <c r="G87" s="21"/>
      <c r="H87" s="26"/>
      <c r="I87" s="23"/>
      <c r="J87" s="24"/>
    </row>
    <row r="88" spans="3:10">
      <c r="E88" s="28">
        <f>IF($E$1=$G$1,G88,IF($E$1=$H$1,H88,IF($E$1=$I$1,I88,IF($E$1=$J$1,J88,""))))</f>
        <v>0</v>
      </c>
      <c r="G88" s="21"/>
      <c r="H88" s="26"/>
      <c r="I88" s="23"/>
      <c r="J88" s="24"/>
    </row>
    <row r="89" spans="3:10">
      <c r="C89" s="5" t="s">
        <v>27</v>
      </c>
      <c r="E89" s="28" t="str">
        <f t="shared" si="0"/>
        <v>Vysvětlivky :</v>
      </c>
      <c r="G89" s="21" t="s">
        <v>973</v>
      </c>
      <c r="H89" s="26" t="s">
        <v>974</v>
      </c>
      <c r="I89" s="23" t="s">
        <v>975</v>
      </c>
      <c r="J89" s="24"/>
    </row>
    <row r="90" spans="3:10">
      <c r="E90" s="28" t="str">
        <f t="shared" ref="E90:E141" si="1">IF($E$1=$G$1,G90,IF($E$1=$H$1,H90,IF($E$1=$I$1,I90,IF($E$1=$J$1,J90,""))))</f>
        <v>ANO</v>
      </c>
      <c r="G90" s="21" t="s">
        <v>976</v>
      </c>
      <c r="H90" s="26" t="s">
        <v>977</v>
      </c>
      <c r="I90" s="23" t="s">
        <v>851</v>
      </c>
      <c r="J90" s="24"/>
    </row>
    <row r="91" spans="3:10">
      <c r="E91" s="28" t="str">
        <f t="shared" si="1"/>
        <v>NE</v>
      </c>
      <c r="G91" s="21" t="s">
        <v>978</v>
      </c>
      <c r="H91" s="26" t="s">
        <v>979</v>
      </c>
      <c r="I91" s="23" t="s">
        <v>851</v>
      </c>
      <c r="J91" s="24"/>
    </row>
    <row r="92" spans="3:10">
      <c r="E92" s="28">
        <f t="shared" si="1"/>
        <v>0</v>
      </c>
      <c r="G92" s="21"/>
      <c r="H92" s="26"/>
      <c r="I92" s="23"/>
      <c r="J92" s="24"/>
    </row>
    <row r="93" spans="3:10">
      <c r="E93" s="28">
        <f t="shared" si="1"/>
        <v>0</v>
      </c>
      <c r="G93" s="21"/>
      <c r="H93" s="26"/>
      <c r="I93" s="23"/>
      <c r="J93" s="24"/>
    </row>
    <row r="94" spans="3:10">
      <c r="E94" s="28">
        <f t="shared" si="1"/>
        <v>0</v>
      </c>
      <c r="G94" s="21"/>
      <c r="H94" s="26"/>
      <c r="I94" s="23"/>
      <c r="J94" s="24"/>
    </row>
    <row r="95" spans="3:10">
      <c r="E95" s="28">
        <f t="shared" si="1"/>
        <v>0</v>
      </c>
      <c r="G95" s="21"/>
      <c r="H95" s="26"/>
      <c r="I95" s="23"/>
      <c r="J95" s="24"/>
    </row>
    <row r="96" spans="3:10">
      <c r="C96" s="5" t="s">
        <v>27</v>
      </c>
      <c r="E96" s="28" t="str">
        <f t="shared" si="1"/>
        <v>Tlačítko "RESET" funguje pouze pokud je aktivní funkce MAKRO. Pokud není aktivní, musíte pole vymazat ručně.</v>
      </c>
      <c r="G96" s="21" t="s">
        <v>980</v>
      </c>
      <c r="H96" s="26" t="s">
        <v>981</v>
      </c>
      <c r="I96" s="23" t="s">
        <v>982</v>
      </c>
      <c r="J96" s="24"/>
    </row>
    <row r="97" spans="3:10" ht="13.9" customHeight="1">
      <c r="C97" s="5" t="s">
        <v>27</v>
      </c>
      <c r="E97" s="28" t="str">
        <f t="shared" si="1"/>
        <v xml:space="preserve">Každou novou konfiguraci začněte tlačítkem RESET
</v>
      </c>
      <c r="G97" s="47" t="s">
        <v>983</v>
      </c>
      <c r="H97" s="26" t="s">
        <v>984</v>
      </c>
      <c r="I97" s="23" t="s">
        <v>985</v>
      </c>
      <c r="J97" s="24"/>
    </row>
    <row r="98" spans="3:10">
      <c r="C98" s="5" t="s">
        <v>27</v>
      </c>
      <c r="E98" s="28" t="str">
        <f t="shared" si="1"/>
        <v>Vyberte požadovaný typ kování (TopLine XL, TopLine L, WingLine L)</v>
      </c>
      <c r="G98" s="21" t="s">
        <v>986</v>
      </c>
      <c r="H98" s="26" t="s">
        <v>987</v>
      </c>
      <c r="I98" s="23" t="s">
        <v>851</v>
      </c>
      <c r="J98" s="24"/>
    </row>
    <row r="99" spans="3:10">
      <c r="C99" s="5" t="s">
        <v>27</v>
      </c>
      <c r="E99" s="28" t="str">
        <f t="shared" si="1"/>
        <v>Zadejte vstupní data:</v>
      </c>
      <c r="G99" s="21" t="s">
        <v>988</v>
      </c>
      <c r="H99" s="26" t="s">
        <v>989</v>
      </c>
      <c r="I99" s="23" t="s">
        <v>990</v>
      </c>
      <c r="J99" s="24"/>
    </row>
    <row r="100" spans="3:10">
      <c r="C100" s="5" t="s">
        <v>27</v>
      </c>
      <c r="E100" s="28" t="str">
        <f t="shared" si="1"/>
        <v>rozměry skříňě resp. dveří</v>
      </c>
      <c r="G100" s="21" t="s">
        <v>991</v>
      </c>
      <c r="H100" s="26" t="s">
        <v>992</v>
      </c>
      <c r="I100" s="23" t="s">
        <v>851</v>
      </c>
      <c r="J100" s="24"/>
    </row>
    <row r="101" spans="3:10">
      <c r="C101" s="5" t="s">
        <v>27</v>
      </c>
      <c r="E101" s="28" t="str">
        <f t="shared" si="1"/>
        <v>postupně vyberte parametry kování</v>
      </c>
      <c r="G101" s="21" t="s">
        <v>993</v>
      </c>
      <c r="H101" s="26" t="s">
        <v>994</v>
      </c>
      <c r="I101" s="23" t="s">
        <v>851</v>
      </c>
      <c r="J101" s="24"/>
    </row>
    <row r="102" spans="3:10">
      <c r="C102" s="5" t="s">
        <v>27</v>
      </c>
      <c r="E102" s="28" t="str">
        <f t="shared" si="1"/>
        <v>Po ukončení této části se posunutím vpřed</v>
      </c>
      <c r="G102" s="21" t="s">
        <v>995</v>
      </c>
      <c r="H102" s="26" t="s">
        <v>996</v>
      </c>
      <c r="I102" s="23" t="s">
        <v>851</v>
      </c>
      <c r="J102" s="24"/>
    </row>
    <row r="103" spans="3:10">
      <c r="C103" s="5" t="s">
        <v>27</v>
      </c>
      <c r="E103" s="28" t="str">
        <f t="shared" si="1"/>
        <v>dostanete na objednávku kování</v>
      </c>
      <c r="G103" s="21" t="s">
        <v>997</v>
      </c>
      <c r="H103" s="26" t="s">
        <v>998</v>
      </c>
      <c r="I103" s="23" t="s">
        <v>851</v>
      </c>
      <c r="J103" s="24"/>
    </row>
    <row r="104" spans="3:10">
      <c r="C104" s="5" t="s">
        <v>27</v>
      </c>
      <c r="E104" s="28" t="str">
        <f t="shared" si="1"/>
        <v>Kliknutím na tlačítko</v>
      </c>
      <c r="G104" s="21" t="s">
        <v>999</v>
      </c>
      <c r="H104" s="26" t="s">
        <v>1000</v>
      </c>
      <c r="I104" s="23" t="s">
        <v>851</v>
      </c>
      <c r="J104" s="24"/>
    </row>
    <row r="105" spans="3:10">
      <c r="C105" s="5" t="s">
        <v>27</v>
      </c>
      <c r="E105" s="28" t="str">
        <f t="shared" si="1"/>
        <v>se pomocí Makra</v>
      </c>
      <c r="G105" s="21" t="s">
        <v>1001</v>
      </c>
      <c r="H105" s="26" t="s">
        <v>1002</v>
      </c>
      <c r="I105" s="23" t="s">
        <v>851</v>
      </c>
      <c r="J105" s="24"/>
    </row>
    <row r="106" spans="3:10">
      <c r="C106" s="5" t="s">
        <v>27</v>
      </c>
      <c r="E106" s="28" t="str">
        <f t="shared" si="1"/>
        <v>vytvoří samostatný soubor = Objednávka</v>
      </c>
      <c r="G106" s="21" t="s">
        <v>1003</v>
      </c>
      <c r="H106" s="26" t="s">
        <v>1004</v>
      </c>
      <c r="I106" s="23" t="s">
        <v>851</v>
      </c>
      <c r="J106" s="24"/>
    </row>
    <row r="107" spans="3:10">
      <c r="C107" s="5" t="s">
        <v>27</v>
      </c>
      <c r="E107" s="28">
        <f t="shared" si="1"/>
        <v>0</v>
      </c>
      <c r="G107" s="21"/>
      <c r="H107" s="26"/>
      <c r="I107" s="23"/>
      <c r="J107" s="24"/>
    </row>
    <row r="108" spans="3:10">
      <c r="C108" s="5" t="s">
        <v>27</v>
      </c>
      <c r="E108" s="28" t="str">
        <f t="shared" si="1"/>
        <v>Při ukončování konfigurátoru doporučujeme zavřít ho bez uložení.</v>
      </c>
      <c r="G108" s="21" t="s">
        <v>1005</v>
      </c>
      <c r="H108" s="26" t="s">
        <v>1006</v>
      </c>
      <c r="I108" s="23" t="s">
        <v>1007</v>
      </c>
      <c r="J108" s="24"/>
    </row>
    <row r="109" spans="3:10">
      <c r="C109" s="5" t="s">
        <v>27</v>
      </c>
      <c r="E109" s="28" t="str">
        <f t="shared" si="1"/>
        <v>Tím docílíte původní výchozí nastavení, t.j. všechno bude vynulované.</v>
      </c>
      <c r="G109" s="21" t="s">
        <v>1008</v>
      </c>
      <c r="H109" s="26" t="s">
        <v>1009</v>
      </c>
      <c r="I109" s="23" t="s">
        <v>1010</v>
      </c>
      <c r="J109" s="24"/>
    </row>
    <row r="110" spans="3:10">
      <c r="C110" s="5" t="s">
        <v>27</v>
      </c>
      <c r="E110" s="28" t="str">
        <f t="shared" si="1"/>
        <v>V opačném případe musíte použít tlačítko RESET, nebo nulovat ručně.</v>
      </c>
      <c r="G110" s="21" t="s">
        <v>1011</v>
      </c>
      <c r="H110" s="26" t="s">
        <v>1012</v>
      </c>
      <c r="I110" s="23" t="s">
        <v>1013</v>
      </c>
      <c r="J110" s="24"/>
    </row>
    <row r="111" spans="3:10">
      <c r="C111" s="5" t="s">
        <v>27</v>
      </c>
      <c r="E111" s="28" t="str">
        <f t="shared" si="1"/>
        <v>Autor neposkytuje žádné záruky. Uživatel nemá nárok na náhradu škody, včetne následných škod, ušlého zisku, zvláštních, nepřímých nebo náhodných škod.</v>
      </c>
      <c r="G111" s="21" t="s">
        <v>1014</v>
      </c>
      <c r="H111" s="26" t="s">
        <v>1015</v>
      </c>
      <c r="I111" s="23" t="s">
        <v>1016</v>
      </c>
      <c r="J111" s="24"/>
    </row>
    <row r="112" spans="3:10">
      <c r="C112" s="5" t="s">
        <v>27</v>
      </c>
      <c r="E112" s="28">
        <f t="shared" si="1"/>
        <v>0</v>
      </c>
      <c r="G112" s="21"/>
      <c r="H112" s="26"/>
      <c r="I112" s="23"/>
      <c r="J112" s="24"/>
    </row>
    <row r="113" spans="3:10">
      <c r="C113" s="5" t="s">
        <v>27</v>
      </c>
      <c r="E113" s="28">
        <f t="shared" si="1"/>
        <v>0</v>
      </c>
      <c r="G113" s="21"/>
      <c r="H113" s="26"/>
      <c r="I113" s="23"/>
      <c r="J113" s="24"/>
    </row>
    <row r="114" spans="3:10">
      <c r="C114" s="5" t="s">
        <v>27</v>
      </c>
      <c r="E114" s="28">
        <f t="shared" si="1"/>
        <v>0</v>
      </c>
      <c r="G114" s="21"/>
      <c r="H114" s="26"/>
      <c r="I114" s="23"/>
      <c r="J114" s="24"/>
    </row>
    <row r="115" spans="3:10">
      <c r="C115" s="5" t="s">
        <v>27</v>
      </c>
      <c r="E115" s="28" t="str">
        <f t="shared" si="1"/>
        <v>Prodejce:</v>
      </c>
      <c r="G115" s="21" t="s">
        <v>1017</v>
      </c>
      <c r="H115" s="26" t="s">
        <v>1018</v>
      </c>
      <c r="I115" s="23" t="s">
        <v>851</v>
      </c>
      <c r="J115" s="24"/>
    </row>
    <row r="116" spans="3:10">
      <c r="C116" s="5" t="s">
        <v>27</v>
      </c>
      <c r="E116" s="28" t="str">
        <f t="shared" si="1"/>
        <v>Odběratel</v>
      </c>
      <c r="G116" s="21" t="s">
        <v>1019</v>
      </c>
      <c r="H116" s="26" t="s">
        <v>1020</v>
      </c>
      <c r="I116" s="23" t="s">
        <v>851</v>
      </c>
      <c r="J116" s="24"/>
    </row>
    <row r="117" spans="3:10">
      <c r="C117" s="5" t="s">
        <v>27</v>
      </c>
      <c r="E117" s="28" t="str">
        <f t="shared" si="1"/>
        <v>Adresa</v>
      </c>
      <c r="G117" s="21" t="s">
        <v>1021</v>
      </c>
      <c r="H117" s="26" t="s">
        <v>1021</v>
      </c>
      <c r="I117" s="23" t="s">
        <v>851</v>
      </c>
      <c r="J117" s="24"/>
    </row>
    <row r="118" spans="3:10">
      <c r="C118" s="5" t="s">
        <v>27</v>
      </c>
      <c r="E118" s="28" t="str">
        <f t="shared" si="1"/>
        <v>Fakturační adresa</v>
      </c>
      <c r="G118" s="21" t="s">
        <v>1022</v>
      </c>
      <c r="H118" s="26" t="s">
        <v>1023</v>
      </c>
      <c r="I118" s="23" t="s">
        <v>851</v>
      </c>
      <c r="J118" s="24"/>
    </row>
    <row r="119" spans="3:10">
      <c r="C119" s="5" t="s">
        <v>27</v>
      </c>
      <c r="E119" s="28" t="str">
        <f t="shared" si="1"/>
        <v>Dodací adresa</v>
      </c>
      <c r="G119" s="21" t="s">
        <v>1024</v>
      </c>
      <c r="H119" s="26" t="s">
        <v>1025</v>
      </c>
      <c r="I119" s="23" t="s">
        <v>851</v>
      </c>
      <c r="J119" s="24"/>
    </row>
    <row r="120" spans="3:10">
      <c r="C120" s="5" t="s">
        <v>27</v>
      </c>
      <c r="E120" s="28" t="str">
        <f t="shared" si="1"/>
        <v>IČO</v>
      </c>
      <c r="G120" s="21" t="s">
        <v>1026</v>
      </c>
      <c r="H120" s="26" t="s">
        <v>1026</v>
      </c>
      <c r="I120" s="23" t="s">
        <v>851</v>
      </c>
      <c r="J120" s="24"/>
    </row>
    <row r="121" spans="3:10">
      <c r="C121" s="5" t="s">
        <v>27</v>
      </c>
      <c r="E121" s="28" t="str">
        <f t="shared" si="1"/>
        <v>DIČ</v>
      </c>
      <c r="G121" s="21" t="s">
        <v>1027</v>
      </c>
      <c r="H121" s="26" t="s">
        <v>1028</v>
      </c>
      <c r="I121" s="23" t="s">
        <v>851</v>
      </c>
      <c r="J121" s="24"/>
    </row>
    <row r="122" spans="3:10">
      <c r="C122" s="5" t="s">
        <v>27</v>
      </c>
      <c r="E122" s="28" t="str">
        <f t="shared" si="1"/>
        <v>Telefon, fax, e-mail</v>
      </c>
      <c r="G122" s="21" t="s">
        <v>1029</v>
      </c>
      <c r="H122" s="26" t="s">
        <v>1030</v>
      </c>
      <c r="I122" s="23" t="s">
        <v>851</v>
      </c>
      <c r="J122" s="24"/>
    </row>
    <row r="123" spans="3:10">
      <c r="C123" s="5" t="s">
        <v>27</v>
      </c>
      <c r="E123" s="28" t="str">
        <f t="shared" si="1"/>
        <v xml:space="preserve">Sleva od prodejce [%]: </v>
      </c>
      <c r="G123" s="21" t="s">
        <v>1031</v>
      </c>
      <c r="H123" s="26" t="s">
        <v>1032</v>
      </c>
      <c r="I123" s="23" t="s">
        <v>851</v>
      </c>
      <c r="J123" s="24"/>
    </row>
    <row r="124" spans="3:10">
      <c r="C124" s="5" t="s">
        <v>27</v>
      </c>
      <c r="E124" s="28" t="str">
        <f t="shared" si="1"/>
        <v>Objednávka</v>
      </c>
      <c r="G124" s="21" t="s">
        <v>1033</v>
      </c>
      <c r="H124" s="26" t="s">
        <v>1033</v>
      </c>
      <c r="I124" s="23" t="s">
        <v>851</v>
      </c>
      <c r="J124" s="24"/>
    </row>
    <row r="125" spans="3:10">
      <c r="C125" s="5" t="s">
        <v>27</v>
      </c>
      <c r="E125" s="28" t="str">
        <f t="shared" si="1"/>
        <v>Číslo objednávky</v>
      </c>
      <c r="G125" s="21" t="s">
        <v>1034</v>
      </c>
      <c r="H125" s="26" t="s">
        <v>1034</v>
      </c>
      <c r="I125" s="23" t="s">
        <v>851</v>
      </c>
      <c r="J125" s="24"/>
    </row>
    <row r="126" spans="3:10">
      <c r="C126" s="5" t="s">
        <v>27</v>
      </c>
      <c r="E126" s="28" t="str">
        <f t="shared" si="1"/>
        <v>Zakázka</v>
      </c>
      <c r="G126" s="21" t="s">
        <v>1035</v>
      </c>
      <c r="H126" s="26" t="s">
        <v>1036</v>
      </c>
      <c r="I126" s="23" t="s">
        <v>851</v>
      </c>
      <c r="J126" s="24"/>
    </row>
    <row r="127" spans="3:10">
      <c r="C127" s="5" t="s">
        <v>27</v>
      </c>
      <c r="E127" s="28" t="str">
        <f t="shared" si="1"/>
        <v>Číslo artiklu</v>
      </c>
      <c r="G127" s="21" t="s">
        <v>1037</v>
      </c>
      <c r="H127" s="26" t="s">
        <v>1037</v>
      </c>
      <c r="I127" s="23" t="s">
        <v>851</v>
      </c>
      <c r="J127" s="24"/>
    </row>
    <row r="128" spans="3:10">
      <c r="C128" s="5" t="s">
        <v>27</v>
      </c>
      <c r="E128" s="28" t="str">
        <f t="shared" si="1"/>
        <v>Název</v>
      </c>
      <c r="G128" s="21" t="s">
        <v>1038</v>
      </c>
      <c r="H128" s="26" t="s">
        <v>1039</v>
      </c>
      <c r="I128" s="23" t="s">
        <v>851</v>
      </c>
      <c r="J128" s="24"/>
    </row>
    <row r="129" spans="3:10">
      <c r="C129" s="5" t="s">
        <v>27</v>
      </c>
      <c r="E129" s="28" t="str">
        <f t="shared" si="1"/>
        <v>balení</v>
      </c>
      <c r="G129" s="21" t="s">
        <v>1040</v>
      </c>
      <c r="H129" s="26" t="s">
        <v>1041</v>
      </c>
      <c r="I129" s="23" t="s">
        <v>851</v>
      </c>
      <c r="J129" s="24"/>
    </row>
    <row r="130" spans="3:10">
      <c r="C130" s="5" t="s">
        <v>27</v>
      </c>
      <c r="E130" s="28" t="str">
        <f>IF($E$1=$G$1,G130,IF($E$1=$H$1,H130,IF($E$1=$I$1,I130,IF($E$1=$J$1,J130,""))))</f>
        <v>Sklad</v>
      </c>
      <c r="G130" s="21" t="s">
        <v>1042</v>
      </c>
      <c r="H130" s="26" t="s">
        <v>1042</v>
      </c>
      <c r="I130" s="23" t="s">
        <v>851</v>
      </c>
      <c r="J130" s="24"/>
    </row>
    <row r="131" spans="3:10">
      <c r="C131" s="5" t="s">
        <v>27</v>
      </c>
      <c r="E131" s="28" t="str">
        <f t="shared" si="1"/>
        <v>Počet</v>
      </c>
      <c r="G131" s="21" t="s">
        <v>1043</v>
      </c>
      <c r="H131" s="26" t="s">
        <v>1043</v>
      </c>
      <c r="I131" s="23" t="s">
        <v>851</v>
      </c>
      <c r="J131" s="24"/>
    </row>
    <row r="132" spans="3:10">
      <c r="C132" s="5" t="s">
        <v>27</v>
      </c>
      <c r="E132" s="28" t="str">
        <f t="shared" si="1"/>
        <v>Jednotková cena</v>
      </c>
      <c r="G132" s="21" t="s">
        <v>1044</v>
      </c>
      <c r="H132" s="26" t="s">
        <v>1044</v>
      </c>
      <c r="I132" s="23" t="s">
        <v>851</v>
      </c>
      <c r="J132" s="24"/>
    </row>
    <row r="133" spans="3:10">
      <c r="C133" s="5" t="s">
        <v>27</v>
      </c>
      <c r="E133" s="28" t="str">
        <f t="shared" si="1"/>
        <v>Celkem</v>
      </c>
      <c r="G133" s="21" t="s">
        <v>1045</v>
      </c>
      <c r="H133" s="26" t="s">
        <v>1046</v>
      </c>
      <c r="I133" s="23" t="s">
        <v>851</v>
      </c>
      <c r="J133" s="24"/>
    </row>
    <row r="134" spans="3:10">
      <c r="C134" s="5" t="s">
        <v>27</v>
      </c>
      <c r="E134" s="28" t="str">
        <f t="shared" si="1"/>
        <v>Změna</v>
      </c>
      <c r="G134" s="21" t="s">
        <v>1047</v>
      </c>
      <c r="H134" s="26" t="s">
        <v>1048</v>
      </c>
      <c r="I134" s="23" t="s">
        <v>851</v>
      </c>
      <c r="J134" s="24"/>
    </row>
    <row r="135" spans="3:10">
      <c r="C135" s="5" t="s">
        <v>27</v>
      </c>
      <c r="E135" s="28" t="str">
        <f t="shared" si="1"/>
        <v>Volné pole</v>
      </c>
      <c r="G135" s="21" t="s">
        <v>1049</v>
      </c>
      <c r="H135" s="26" t="s">
        <v>1050</v>
      </c>
      <c r="I135" s="23" t="s">
        <v>851</v>
      </c>
      <c r="J135" s="24"/>
    </row>
    <row r="136" spans="3:10">
      <c r="C136" s="5" t="s">
        <v>27</v>
      </c>
      <c r="E136" s="28" t="str">
        <f t="shared" si="1"/>
        <v>Kód prodejce</v>
      </c>
      <c r="G136" s="21" t="s">
        <v>1051</v>
      </c>
      <c r="H136" s="26" t="s">
        <v>1052</v>
      </c>
      <c r="I136" s="23" t="s">
        <v>851</v>
      </c>
      <c r="J136" s="24"/>
    </row>
    <row r="137" spans="3:10">
      <c r="C137" s="5" t="s">
        <v>27</v>
      </c>
      <c r="E137" s="28" t="str">
        <f t="shared" si="1"/>
        <v xml:space="preserve">Verze </v>
      </c>
      <c r="G137" s="21" t="s">
        <v>1053</v>
      </c>
      <c r="H137" s="26" t="s">
        <v>1054</v>
      </c>
      <c r="I137" s="23" t="s">
        <v>851</v>
      </c>
      <c r="J137" s="24"/>
    </row>
    <row r="138" spans="3:10">
      <c r="C138" s="5" t="s">
        <v>27</v>
      </c>
      <c r="E138" s="28" t="str">
        <f t="shared" si="1"/>
        <v>1.0.3</v>
      </c>
      <c r="G138" s="21" t="s">
        <v>1055</v>
      </c>
      <c r="H138" s="26" t="s">
        <v>1055</v>
      </c>
      <c r="I138" s="23" t="s">
        <v>851</v>
      </c>
      <c r="J138" s="24"/>
    </row>
    <row r="139" spans="3:10">
      <c r="C139" s="5" t="s">
        <v>27</v>
      </c>
      <c r="E139" s="28" t="str">
        <f t="shared" si="1"/>
        <v>Platnost cenníku od</v>
      </c>
      <c r="G139" s="21" t="s">
        <v>1056</v>
      </c>
      <c r="H139" s="26" t="s">
        <v>1057</v>
      </c>
      <c r="I139" s="23" t="s">
        <v>851</v>
      </c>
      <c r="J139" s="24"/>
    </row>
    <row r="140" spans="3:10">
      <c r="C140" s="5" t="s">
        <v>27</v>
      </c>
      <c r="E140" s="28" t="str">
        <f t="shared" si="1"/>
        <v>Formulář pro identifikační údaje</v>
      </c>
      <c r="G140" s="21" t="s">
        <v>1058</v>
      </c>
      <c r="H140" s="26" t="s">
        <v>1059</v>
      </c>
      <c r="I140" s="23" t="s">
        <v>851</v>
      </c>
      <c r="J140" s="24"/>
    </row>
    <row r="141" spans="3:10">
      <c r="C141" s="5" t="s">
        <v>27</v>
      </c>
      <c r="E141" s="28" t="str">
        <f t="shared" si="1"/>
        <v>nákupní ceny, tj. ceny se slevou od prodejce</v>
      </c>
      <c r="G141" s="25" t="s">
        <v>1060</v>
      </c>
      <c r="H141" s="26" t="s">
        <v>1061</v>
      </c>
      <c r="I141" s="23" t="s">
        <v>851</v>
      </c>
      <c r="J141" s="24"/>
    </row>
    <row r="142" spans="3:10">
      <c r="C142" s="5" t="s">
        <v>27</v>
      </c>
      <c r="E142" s="28" t="str">
        <f t="shared" ref="E142:E207" si="2">IF($E$1=$G$1,G142,IF($E$1=$H$1,H142,IF($E$1=$I$1,I142,IF($E$1=$J$1,J142,""))))</f>
        <v xml:space="preserve">Cena celkem bez DPH </v>
      </c>
      <c r="G142" s="21" t="s">
        <v>1062</v>
      </c>
      <c r="H142" s="26" t="s">
        <v>1063</v>
      </c>
      <c r="I142" s="23" t="s">
        <v>851</v>
      </c>
      <c r="J142" s="24"/>
    </row>
    <row r="143" spans="3:10">
      <c r="C143" s="5" t="s">
        <v>27</v>
      </c>
      <c r="E143" s="28" t="str">
        <f t="shared" si="2"/>
        <v>Poznámka:</v>
      </c>
      <c r="G143" s="21" t="s">
        <v>1064</v>
      </c>
      <c r="H143" s="26" t="s">
        <v>1065</v>
      </c>
      <c r="I143" s="23" t="s">
        <v>851</v>
      </c>
      <c r="J143" s="24"/>
    </row>
    <row r="144" spans="3:10">
      <c r="C144" s="5" t="s">
        <v>27</v>
      </c>
      <c r="E144" s="28" t="str">
        <f t="shared" si="2"/>
        <v>Ve sloupci "Změna" můžete upravit počty kusů.</v>
      </c>
      <c r="G144" s="308" t="s">
        <v>1066</v>
      </c>
      <c r="H144" s="309" t="s">
        <v>1067</v>
      </c>
      <c r="I144" s="23" t="s">
        <v>851</v>
      </c>
      <c r="J144" s="24"/>
    </row>
    <row r="145" spans="3:10">
      <c r="C145" s="5" t="s">
        <v>27</v>
      </c>
      <c r="E145" s="28" t="str">
        <f t="shared" si="2"/>
        <v>Po úpravě objednávky odfiltrujte prázné řádky ve sloupci "Počet".</v>
      </c>
      <c r="G145" s="308" t="s">
        <v>1068</v>
      </c>
      <c r="H145" s="309" t="s">
        <v>1069</v>
      </c>
      <c r="I145" s="23" t="s">
        <v>851</v>
      </c>
      <c r="J145" s="24"/>
    </row>
    <row r="146" spans="3:10">
      <c r="C146" s="5" t="s">
        <v>27</v>
      </c>
      <c r="E146" s="28" t="str">
        <f t="shared" si="2"/>
        <v>Pokud chcete objednávku uložit nebo odeslat jako přílohu, vytvořte nový soubor kliknutím na 'Vytvořit objednávku'.</v>
      </c>
      <c r="G146" s="308" t="s">
        <v>1070</v>
      </c>
      <c r="H146" s="309" t="s">
        <v>1071</v>
      </c>
      <c r="I146" s="23" t="s">
        <v>851</v>
      </c>
      <c r="J146" s="24"/>
    </row>
    <row r="147" spans="3:10">
      <c r="C147" s="5" t="s">
        <v>27</v>
      </c>
      <c r="E147" s="28" t="str">
        <f t="shared" si="2"/>
        <v>VYTVOŘIT  OBJEDNÁVKU</v>
      </c>
      <c r="G147" s="25" t="s">
        <v>1072</v>
      </c>
      <c r="H147" s="26" t="s">
        <v>1073</v>
      </c>
      <c r="I147" s="23" t="s">
        <v>851</v>
      </c>
      <c r="J147" s="24"/>
    </row>
    <row r="148" spans="3:10">
      <c r="C148" s="5" t="s">
        <v>27</v>
      </c>
      <c r="E148" s="28">
        <f t="shared" si="2"/>
        <v>0</v>
      </c>
      <c r="G148" s="21"/>
      <c r="H148" s="26"/>
      <c r="I148" s="23"/>
      <c r="J148" s="24"/>
    </row>
    <row r="149" spans="3:10">
      <c r="C149" s="5" t="s">
        <v>27</v>
      </c>
      <c r="E149" s="28">
        <f t="shared" si="2"/>
        <v>0</v>
      </c>
      <c r="G149" s="21"/>
      <c r="H149" s="26"/>
      <c r="I149" s="23"/>
      <c r="J149" s="24"/>
    </row>
    <row r="150" spans="3:10">
      <c r="C150" s="5" t="s">
        <v>27</v>
      </c>
      <c r="E150" s="28">
        <f t="shared" si="2"/>
        <v>0</v>
      </c>
      <c r="G150" s="21"/>
      <c r="H150" s="26"/>
      <c r="I150" s="23"/>
      <c r="J150" s="24"/>
    </row>
    <row r="151" spans="3:10">
      <c r="C151" s="5" t="s">
        <v>27</v>
      </c>
      <c r="E151" s="28">
        <f t="shared" si="2"/>
        <v>0</v>
      </c>
      <c r="G151" s="21"/>
      <c r="H151" s="26"/>
      <c r="I151" s="23"/>
      <c r="J151" s="24"/>
    </row>
    <row r="152" spans="3:10">
      <c r="C152" s="5" t="s">
        <v>27</v>
      </c>
      <c r="E152" s="28">
        <f t="shared" si="2"/>
        <v>0</v>
      </c>
      <c r="G152" s="21"/>
      <c r="H152" s="26"/>
      <c r="I152" s="23"/>
      <c r="J152" s="24"/>
    </row>
    <row r="153" spans="3:10">
      <c r="C153" s="5" t="s">
        <v>27</v>
      </c>
      <c r="E153" s="28">
        <f t="shared" si="2"/>
        <v>0</v>
      </c>
      <c r="G153" s="21"/>
      <c r="H153" s="26"/>
      <c r="I153" s="23"/>
      <c r="J153" s="24"/>
    </row>
    <row r="154" spans="3:10">
      <c r="C154" s="5" t="s">
        <v>27</v>
      </c>
      <c r="E154" s="28">
        <f t="shared" si="2"/>
        <v>0</v>
      </c>
      <c r="G154" s="21"/>
      <c r="H154" s="26"/>
      <c r="I154" s="23"/>
      <c r="J154" s="24"/>
    </row>
    <row r="155" spans="3:10">
      <c r="C155" s="5" t="s">
        <v>27</v>
      </c>
      <c r="E155" s="28">
        <f t="shared" si="2"/>
        <v>0</v>
      </c>
      <c r="G155" s="21"/>
      <c r="H155" s="26"/>
      <c r="I155" s="23"/>
      <c r="J155" s="24"/>
    </row>
    <row r="156" spans="3:10">
      <c r="C156" s="5" t="s">
        <v>27</v>
      </c>
      <c r="E156" s="28">
        <f t="shared" si="2"/>
        <v>0</v>
      </c>
      <c r="G156" s="21"/>
      <c r="H156" s="26"/>
      <c r="I156" s="23"/>
      <c r="J156" s="24"/>
    </row>
    <row r="157" spans="3:10">
      <c r="C157" s="5" t="s">
        <v>27</v>
      </c>
      <c r="E157" s="28">
        <f t="shared" si="2"/>
        <v>0</v>
      </c>
      <c r="G157" s="21"/>
      <c r="H157" s="26"/>
      <c r="I157" s="23"/>
      <c r="J157" s="24"/>
    </row>
    <row r="158" spans="3:10">
      <c r="C158" s="5" t="s">
        <v>27</v>
      </c>
      <c r="E158" s="28">
        <f t="shared" si="2"/>
        <v>0</v>
      </c>
      <c r="G158" s="21"/>
      <c r="H158" s="26"/>
      <c r="I158" s="23"/>
      <c r="J158" s="24"/>
    </row>
    <row r="159" spans="3:10">
      <c r="C159" s="5" t="s">
        <v>27</v>
      </c>
      <c r="E159" s="28">
        <f t="shared" si="2"/>
        <v>0</v>
      </c>
      <c r="G159" s="21"/>
      <c r="H159" s="26"/>
      <c r="I159" s="23"/>
      <c r="J159" s="24"/>
    </row>
    <row r="160" spans="3:10">
      <c r="C160" s="5" t="s">
        <v>27</v>
      </c>
      <c r="E160" s="28">
        <f t="shared" si="2"/>
        <v>0</v>
      </c>
      <c r="G160" s="21"/>
      <c r="H160" s="26"/>
      <c r="I160" s="23"/>
      <c r="J160" s="24"/>
    </row>
    <row r="161" spans="3:10">
      <c r="C161" s="5" t="s">
        <v>27</v>
      </c>
      <c r="E161" s="28">
        <f t="shared" si="2"/>
        <v>0</v>
      </c>
      <c r="G161" s="21"/>
      <c r="H161" s="26"/>
      <c r="I161" s="23"/>
      <c r="J161" s="24"/>
    </row>
    <row r="162" spans="3:10">
      <c r="C162" s="5" t="s">
        <v>27</v>
      </c>
      <c r="E162" s="28">
        <f t="shared" si="2"/>
        <v>0</v>
      </c>
      <c r="G162" s="21"/>
      <c r="H162" s="26"/>
      <c r="I162" s="23"/>
      <c r="J162" s="24"/>
    </row>
    <row r="163" spans="3:10">
      <c r="C163" s="5" t="s">
        <v>27</v>
      </c>
      <c r="E163" s="28">
        <f t="shared" si="2"/>
        <v>0</v>
      </c>
      <c r="G163" s="21"/>
      <c r="H163" s="26"/>
      <c r="I163" s="23"/>
      <c r="J163" s="24"/>
    </row>
    <row r="164" spans="3:10">
      <c r="C164" s="5" t="s">
        <v>27</v>
      </c>
      <c r="E164" s="28">
        <f t="shared" si="2"/>
        <v>0</v>
      </c>
      <c r="G164" s="21"/>
      <c r="H164" s="26"/>
      <c r="I164" s="23"/>
      <c r="J164" s="24"/>
    </row>
    <row r="165" spans="3:10">
      <c r="C165" s="5" t="s">
        <v>27</v>
      </c>
      <c r="E165" s="28">
        <f t="shared" si="2"/>
        <v>0</v>
      </c>
      <c r="G165" s="21"/>
      <c r="H165" s="26"/>
      <c r="I165" s="23"/>
      <c r="J165" s="24"/>
    </row>
    <row r="166" spans="3:10">
      <c r="C166" s="5" t="s">
        <v>27</v>
      </c>
      <c r="E166" s="28">
        <f t="shared" si="2"/>
        <v>0</v>
      </c>
      <c r="G166" s="21"/>
      <c r="H166" s="26"/>
      <c r="I166" s="23"/>
      <c r="J166" s="24"/>
    </row>
    <row r="167" spans="3:10">
      <c r="C167" s="5" t="s">
        <v>27</v>
      </c>
      <c r="E167" s="28">
        <f t="shared" si="2"/>
        <v>0</v>
      </c>
      <c r="G167" s="21"/>
      <c r="H167" s="26"/>
      <c r="I167" s="23"/>
      <c r="J167" s="24"/>
    </row>
    <row r="168" spans="3:10">
      <c r="C168" s="5" t="s">
        <v>27</v>
      </c>
      <c r="E168" s="28">
        <f t="shared" si="2"/>
        <v>0</v>
      </c>
      <c r="G168" s="21"/>
      <c r="H168" s="26"/>
      <c r="I168" s="23"/>
      <c r="J168" s="24"/>
    </row>
    <row r="169" spans="3:10">
      <c r="C169" s="5" t="s">
        <v>27</v>
      </c>
      <c r="E169" s="28">
        <f t="shared" si="2"/>
        <v>0</v>
      </c>
      <c r="G169" s="21"/>
      <c r="H169" s="26"/>
      <c r="I169" s="23"/>
      <c r="J169" s="24"/>
    </row>
    <row r="170" spans="3:10">
      <c r="C170" s="5" t="s">
        <v>27</v>
      </c>
      <c r="E170" s="28">
        <f t="shared" si="2"/>
        <v>0</v>
      </c>
      <c r="G170" s="21"/>
      <c r="H170" s="26"/>
      <c r="I170" s="23"/>
      <c r="J170" s="24"/>
    </row>
    <row r="171" spans="3:10">
      <c r="C171" s="5" t="s">
        <v>27</v>
      </c>
      <c r="E171" s="28">
        <f t="shared" si="2"/>
        <v>0</v>
      </c>
      <c r="G171" s="21"/>
      <c r="H171" s="26"/>
      <c r="I171" s="23"/>
      <c r="J171" s="24"/>
    </row>
    <row r="172" spans="3:10">
      <c r="C172" s="5" t="s">
        <v>27</v>
      </c>
      <c r="E172" s="28">
        <f t="shared" si="2"/>
        <v>0</v>
      </c>
      <c r="G172" s="21"/>
      <c r="H172" s="26"/>
      <c r="I172" s="23"/>
      <c r="J172" s="24"/>
    </row>
    <row r="173" spans="3:10">
      <c r="C173" s="5" t="s">
        <v>27</v>
      </c>
      <c r="E173" s="28">
        <f t="shared" si="2"/>
        <v>0</v>
      </c>
      <c r="G173" s="21"/>
      <c r="H173" s="26"/>
      <c r="I173" s="23"/>
      <c r="J173" s="24"/>
    </row>
    <row r="174" spans="3:10">
      <c r="C174" s="5" t="s">
        <v>27</v>
      </c>
      <c r="E174" s="28">
        <f t="shared" si="2"/>
        <v>0</v>
      </c>
      <c r="G174" s="21"/>
      <c r="H174" s="26"/>
      <c r="I174" s="23"/>
      <c r="J174" s="24"/>
    </row>
    <row r="175" spans="3:10">
      <c r="C175" s="5" t="s">
        <v>27</v>
      </c>
      <c r="E175" s="28">
        <f t="shared" si="2"/>
        <v>0</v>
      </c>
      <c r="G175" s="21"/>
      <c r="H175" s="26"/>
      <c r="I175" s="23"/>
      <c r="J175" s="24"/>
    </row>
    <row r="176" spans="3:10">
      <c r="C176" s="5" t="s">
        <v>27</v>
      </c>
      <c r="E176" s="28">
        <f t="shared" si="2"/>
        <v>0</v>
      </c>
      <c r="G176" s="21"/>
      <c r="H176" s="26"/>
      <c r="I176" s="23"/>
      <c r="J176" s="24"/>
    </row>
    <row r="177" spans="3:10">
      <c r="C177" s="5" t="s">
        <v>27</v>
      </c>
      <c r="E177" s="28">
        <f t="shared" si="2"/>
        <v>0</v>
      </c>
      <c r="G177" s="21"/>
      <c r="H177" s="26"/>
      <c r="I177" s="23"/>
      <c r="J177" s="24"/>
    </row>
    <row r="178" spans="3:10">
      <c r="C178" s="5" t="s">
        <v>27</v>
      </c>
      <c r="E178" s="28">
        <f t="shared" si="2"/>
        <v>0</v>
      </c>
      <c r="G178" s="21"/>
      <c r="H178" s="26"/>
      <c r="I178" s="23"/>
      <c r="J178" s="24"/>
    </row>
    <row r="179" spans="3:10">
      <c r="C179" s="5" t="s">
        <v>27</v>
      </c>
      <c r="E179" s="28">
        <f t="shared" si="2"/>
        <v>0</v>
      </c>
      <c r="G179" s="21"/>
      <c r="H179" s="26"/>
      <c r="I179" s="23"/>
      <c r="J179" s="24"/>
    </row>
    <row r="180" spans="3:10">
      <c r="C180" s="5" t="s">
        <v>27</v>
      </c>
      <c r="E180" s="28">
        <f t="shared" si="2"/>
        <v>0</v>
      </c>
      <c r="G180" s="21"/>
      <c r="H180" s="26"/>
      <c r="I180" s="23"/>
      <c r="J180" s="24"/>
    </row>
    <row r="181" spans="3:10">
      <c r="C181" s="5" t="s">
        <v>27</v>
      </c>
      <c r="E181" s="28">
        <f t="shared" si="2"/>
        <v>0</v>
      </c>
      <c r="G181" s="21"/>
      <c r="H181" s="26"/>
      <c r="I181" s="23"/>
      <c r="J181" s="24"/>
    </row>
    <row r="182" spans="3:10">
      <c r="C182" s="5" t="s">
        <v>27</v>
      </c>
      <c r="E182" s="28">
        <f t="shared" si="2"/>
        <v>0</v>
      </c>
      <c r="G182" s="21"/>
      <c r="H182" s="26"/>
      <c r="I182" s="23"/>
      <c r="J182" s="24"/>
    </row>
    <row r="183" spans="3:10">
      <c r="C183" s="5" t="s">
        <v>27</v>
      </c>
      <c r="E183" s="28">
        <f t="shared" si="2"/>
        <v>0</v>
      </c>
      <c r="G183" s="21"/>
      <c r="H183" s="26"/>
      <c r="I183" s="23"/>
      <c r="J183" s="24"/>
    </row>
    <row r="184" spans="3:10">
      <c r="C184" s="5" t="s">
        <v>27</v>
      </c>
      <c r="E184" s="28">
        <f t="shared" si="2"/>
        <v>0</v>
      </c>
      <c r="G184" s="21"/>
      <c r="H184" s="26"/>
      <c r="I184" s="23"/>
      <c r="J184" s="24"/>
    </row>
    <row r="185" spans="3:10">
      <c r="C185" s="5" t="s">
        <v>27</v>
      </c>
      <c r="E185" s="28">
        <f t="shared" si="2"/>
        <v>0</v>
      </c>
      <c r="G185" s="21"/>
      <c r="H185" s="26"/>
      <c r="I185" s="23"/>
      <c r="J185" s="24"/>
    </row>
    <row r="186" spans="3:10">
      <c r="C186" s="5" t="s">
        <v>27</v>
      </c>
      <c r="E186" s="28">
        <f t="shared" si="2"/>
        <v>0</v>
      </c>
      <c r="G186" s="21"/>
      <c r="H186" s="26"/>
      <c r="I186" s="23"/>
      <c r="J186" s="24"/>
    </row>
    <row r="187" spans="3:10">
      <c r="C187" s="5" t="s">
        <v>27</v>
      </c>
      <c r="E187" s="28">
        <f t="shared" si="2"/>
        <v>0</v>
      </c>
      <c r="G187" s="21"/>
      <c r="H187" s="26"/>
      <c r="I187" s="23"/>
      <c r="J187" s="24"/>
    </row>
    <row r="188" spans="3:10">
      <c r="C188" s="5" t="s">
        <v>27</v>
      </c>
      <c r="E188" s="28">
        <f t="shared" si="2"/>
        <v>0</v>
      </c>
      <c r="G188" s="21"/>
      <c r="H188" s="26"/>
      <c r="I188" s="23"/>
      <c r="J188" s="24"/>
    </row>
    <row r="189" spans="3:10">
      <c r="C189" s="5" t="s">
        <v>27</v>
      </c>
      <c r="E189" s="28">
        <f t="shared" si="2"/>
        <v>0</v>
      </c>
      <c r="G189" s="21"/>
      <c r="H189" s="26"/>
      <c r="I189" s="23"/>
      <c r="J189" s="24"/>
    </row>
    <row r="190" spans="3:10">
      <c r="C190" s="5" t="s">
        <v>27</v>
      </c>
      <c r="E190" s="28">
        <f t="shared" si="2"/>
        <v>0</v>
      </c>
      <c r="G190" s="21"/>
      <c r="H190" s="26"/>
      <c r="I190" s="23"/>
      <c r="J190" s="24"/>
    </row>
    <row r="191" spans="3:10">
      <c r="C191" s="5" t="s">
        <v>27</v>
      </c>
      <c r="E191" s="28">
        <f t="shared" si="2"/>
        <v>0</v>
      </c>
      <c r="G191" s="21"/>
      <c r="H191" s="26"/>
      <c r="I191" s="23"/>
      <c r="J191" s="24"/>
    </row>
    <row r="192" spans="3:10">
      <c r="C192" s="5" t="s">
        <v>27</v>
      </c>
      <c r="E192" s="28">
        <f t="shared" si="2"/>
        <v>0</v>
      </c>
      <c r="G192" s="21"/>
      <c r="H192" s="26"/>
      <c r="I192" s="23"/>
      <c r="J192" s="24"/>
    </row>
    <row r="193" spans="3:10">
      <c r="C193" s="5" t="s">
        <v>27</v>
      </c>
      <c r="E193" s="28">
        <f t="shared" si="2"/>
        <v>0</v>
      </c>
      <c r="G193" s="21"/>
      <c r="H193" s="26"/>
      <c r="I193" s="23"/>
      <c r="J193" s="24"/>
    </row>
    <row r="194" spans="3:10">
      <c r="C194" s="5" t="s">
        <v>27</v>
      </c>
      <c r="E194" s="28">
        <f t="shared" si="2"/>
        <v>0</v>
      </c>
      <c r="G194" s="21"/>
      <c r="H194" s="26"/>
      <c r="I194" s="23"/>
      <c r="J194" s="24"/>
    </row>
    <row r="195" spans="3:10">
      <c r="C195" s="5" t="s">
        <v>27</v>
      </c>
      <c r="E195" s="28">
        <f t="shared" si="2"/>
        <v>0</v>
      </c>
      <c r="G195" s="21"/>
      <c r="H195" s="26"/>
      <c r="I195" s="23"/>
      <c r="J195" s="24"/>
    </row>
    <row r="196" spans="3:10">
      <c r="C196" s="5" t="s">
        <v>27</v>
      </c>
      <c r="E196" s="28">
        <f t="shared" si="2"/>
        <v>0</v>
      </c>
      <c r="G196" s="21"/>
      <c r="H196" s="26"/>
      <c r="I196" s="23"/>
      <c r="J196" s="24"/>
    </row>
    <row r="197" spans="3:10">
      <c r="C197" s="5" t="s">
        <v>27</v>
      </c>
      <c r="E197" s="28">
        <f t="shared" si="2"/>
        <v>0</v>
      </c>
      <c r="G197" s="21"/>
      <c r="H197" s="26"/>
      <c r="I197" s="23"/>
      <c r="J197" s="24"/>
    </row>
    <row r="198" spans="3:10">
      <c r="C198" s="5" t="s">
        <v>27</v>
      </c>
      <c r="E198" s="28">
        <f t="shared" si="2"/>
        <v>0</v>
      </c>
      <c r="G198" s="21"/>
      <c r="H198" s="26"/>
      <c r="I198" s="23"/>
      <c r="J198" s="24"/>
    </row>
    <row r="199" spans="3:10">
      <c r="C199" s="5" t="s">
        <v>27</v>
      </c>
      <c r="E199" s="28">
        <f t="shared" si="2"/>
        <v>0</v>
      </c>
      <c r="G199" s="21"/>
      <c r="H199" s="26"/>
      <c r="I199" s="23"/>
      <c r="J199" s="24"/>
    </row>
    <row r="200" spans="3:10">
      <c r="C200" s="5" t="s">
        <v>27</v>
      </c>
      <c r="E200" s="28">
        <f t="shared" si="2"/>
        <v>0</v>
      </c>
      <c r="G200" s="21"/>
      <c r="H200" s="26"/>
      <c r="I200" s="23"/>
      <c r="J200" s="24"/>
    </row>
    <row r="201" spans="3:10">
      <c r="C201" s="5" t="s">
        <v>27</v>
      </c>
      <c r="E201" s="28">
        <f t="shared" si="2"/>
        <v>0</v>
      </c>
      <c r="G201" s="21"/>
      <c r="H201" s="26"/>
      <c r="I201" s="23"/>
      <c r="J201" s="24"/>
    </row>
    <row r="202" spans="3:10">
      <c r="C202" s="5" t="s">
        <v>27</v>
      </c>
      <c r="E202" s="28">
        <f t="shared" si="2"/>
        <v>0</v>
      </c>
      <c r="G202" s="21"/>
      <c r="H202" s="26"/>
      <c r="I202" s="23"/>
      <c r="J202" s="24"/>
    </row>
    <row r="203" spans="3:10">
      <c r="C203" s="5" t="s">
        <v>27</v>
      </c>
      <c r="E203" s="28">
        <f t="shared" si="2"/>
        <v>0</v>
      </c>
      <c r="G203" s="21"/>
      <c r="H203" s="26"/>
      <c r="I203" s="23"/>
      <c r="J203" s="24"/>
    </row>
    <row r="204" spans="3:10">
      <c r="C204" s="5" t="s">
        <v>27</v>
      </c>
      <c r="E204" s="28">
        <f t="shared" si="2"/>
        <v>0</v>
      </c>
      <c r="G204" s="21"/>
      <c r="H204" s="26"/>
      <c r="I204" s="23"/>
      <c r="J204" s="24"/>
    </row>
    <row r="205" spans="3:10">
      <c r="C205" s="5" t="s">
        <v>27</v>
      </c>
      <c r="E205" s="28">
        <f t="shared" si="2"/>
        <v>0</v>
      </c>
      <c r="G205" s="21"/>
      <c r="H205" s="26"/>
      <c r="I205" s="23"/>
      <c r="J205" s="24"/>
    </row>
    <row r="206" spans="3:10">
      <c r="C206" s="5" t="s">
        <v>27</v>
      </c>
      <c r="E206" s="28">
        <f t="shared" si="2"/>
        <v>0</v>
      </c>
      <c r="G206" s="21"/>
      <c r="H206" s="26"/>
      <c r="I206" s="23"/>
      <c r="J206" s="24"/>
    </row>
    <row r="207" spans="3:10">
      <c r="C207" s="5" t="s">
        <v>27</v>
      </c>
      <c r="E207" s="28">
        <f t="shared" si="2"/>
        <v>0</v>
      </c>
      <c r="G207" s="21"/>
      <c r="H207" s="26"/>
      <c r="I207" s="23"/>
      <c r="J207" s="24"/>
    </row>
    <row r="208" spans="3:10">
      <c r="C208" s="5" t="s">
        <v>27</v>
      </c>
      <c r="E208" s="28">
        <f t="shared" ref="E208:E235" si="3">IF($E$1=$G$1,G208,IF($E$1=$H$1,H208,IF($E$1=$I$1,I208,IF($E$1=$J$1,J208,""))))</f>
        <v>0</v>
      </c>
      <c r="G208" s="21"/>
      <c r="H208" s="26"/>
      <c r="I208" s="23"/>
      <c r="J208" s="24"/>
    </row>
    <row r="209" spans="3:10">
      <c r="C209" s="5" t="s">
        <v>27</v>
      </c>
      <c r="E209" s="28">
        <f t="shared" si="3"/>
        <v>0</v>
      </c>
      <c r="G209" s="21"/>
      <c r="H209" s="26"/>
      <c r="I209" s="23"/>
      <c r="J209" s="24"/>
    </row>
    <row r="210" spans="3:10">
      <c r="C210" s="5" t="s">
        <v>27</v>
      </c>
      <c r="E210" s="28">
        <f t="shared" si="3"/>
        <v>0</v>
      </c>
      <c r="G210" s="21"/>
      <c r="H210" s="26"/>
      <c r="I210" s="23"/>
      <c r="J210" s="24"/>
    </row>
    <row r="211" spans="3:10">
      <c r="C211" s="5" t="s">
        <v>27</v>
      </c>
      <c r="E211" s="28">
        <f t="shared" si="3"/>
        <v>0</v>
      </c>
      <c r="G211" s="21"/>
      <c r="H211" s="26"/>
      <c r="I211" s="23"/>
      <c r="J211" s="24"/>
    </row>
    <row r="212" spans="3:10">
      <c r="C212" s="5" t="s">
        <v>27</v>
      </c>
      <c r="E212" s="28">
        <f t="shared" si="3"/>
        <v>0</v>
      </c>
      <c r="G212" s="21"/>
      <c r="H212" s="26"/>
      <c r="I212" s="23"/>
      <c r="J212" s="24"/>
    </row>
    <row r="213" spans="3:10">
      <c r="C213" s="5" t="s">
        <v>27</v>
      </c>
      <c r="E213" s="28">
        <f t="shared" si="3"/>
        <v>0</v>
      </c>
      <c r="G213" s="21"/>
      <c r="H213" s="26"/>
      <c r="I213" s="23"/>
      <c r="J213" s="24"/>
    </row>
    <row r="214" spans="3:10">
      <c r="C214" s="5" t="s">
        <v>27</v>
      </c>
      <c r="E214" s="28">
        <f t="shared" si="3"/>
        <v>0</v>
      </c>
      <c r="G214" s="21"/>
      <c r="H214" s="26"/>
      <c r="I214" s="23"/>
      <c r="J214" s="24"/>
    </row>
    <row r="215" spans="3:10">
      <c r="C215" s="5" t="s">
        <v>27</v>
      </c>
      <c r="E215" s="28">
        <f t="shared" si="3"/>
        <v>0</v>
      </c>
      <c r="G215" s="21"/>
      <c r="H215" s="26"/>
      <c r="I215" s="23"/>
      <c r="J215" s="24"/>
    </row>
    <row r="216" spans="3:10">
      <c r="C216" s="5" t="s">
        <v>27</v>
      </c>
      <c r="E216" s="28">
        <f t="shared" si="3"/>
        <v>0</v>
      </c>
      <c r="G216" s="21"/>
      <c r="H216" s="26"/>
      <c r="I216" s="23"/>
      <c r="J216" s="24"/>
    </row>
    <row r="217" spans="3:10">
      <c r="C217" s="5" t="s">
        <v>27</v>
      </c>
      <c r="E217" s="28">
        <f t="shared" si="3"/>
        <v>0</v>
      </c>
      <c r="G217" s="21"/>
      <c r="H217" s="26"/>
      <c r="I217" s="23"/>
      <c r="J217" s="24"/>
    </row>
    <row r="218" spans="3:10">
      <c r="C218" s="5" t="s">
        <v>27</v>
      </c>
      <c r="E218" s="28">
        <f t="shared" si="3"/>
        <v>0</v>
      </c>
      <c r="G218" s="21"/>
      <c r="H218" s="26"/>
      <c r="I218" s="23"/>
      <c r="J218" s="24"/>
    </row>
    <row r="219" spans="3:10">
      <c r="C219" s="5" t="s">
        <v>27</v>
      </c>
      <c r="E219" s="28">
        <f t="shared" si="3"/>
        <v>0</v>
      </c>
      <c r="G219" s="21"/>
      <c r="H219" s="26"/>
      <c r="I219" s="23"/>
      <c r="J219" s="24"/>
    </row>
    <row r="220" spans="3:10">
      <c r="C220" s="5" t="s">
        <v>27</v>
      </c>
      <c r="E220" s="28">
        <f t="shared" si="3"/>
        <v>0</v>
      </c>
      <c r="G220" s="21"/>
      <c r="H220" s="26"/>
      <c r="I220" s="23"/>
      <c r="J220" s="24"/>
    </row>
    <row r="221" spans="3:10">
      <c r="C221" s="5" t="s">
        <v>27</v>
      </c>
      <c r="E221" s="28">
        <f t="shared" si="3"/>
        <v>0</v>
      </c>
      <c r="G221" s="21"/>
      <c r="H221" s="26"/>
      <c r="I221" s="23"/>
      <c r="J221" s="24"/>
    </row>
    <row r="222" spans="3:10">
      <c r="C222" s="5" t="s">
        <v>27</v>
      </c>
      <c r="E222" s="28">
        <f t="shared" si="3"/>
        <v>0</v>
      </c>
      <c r="G222" s="21"/>
      <c r="H222" s="26"/>
      <c r="I222" s="23"/>
      <c r="J222" s="24"/>
    </row>
    <row r="223" spans="3:10">
      <c r="C223" s="5" t="s">
        <v>27</v>
      </c>
      <c r="E223" s="28">
        <f t="shared" si="3"/>
        <v>0</v>
      </c>
      <c r="G223" s="21"/>
      <c r="H223" s="26"/>
      <c r="I223" s="23"/>
      <c r="J223" s="24"/>
    </row>
    <row r="224" spans="3:10">
      <c r="C224" s="5" t="s">
        <v>27</v>
      </c>
      <c r="E224" s="28">
        <f t="shared" si="3"/>
        <v>0</v>
      </c>
      <c r="G224" s="21"/>
      <c r="H224" s="26"/>
      <c r="I224" s="23"/>
      <c r="J224" s="24"/>
    </row>
    <row r="225" spans="3:10">
      <c r="C225" s="5" t="s">
        <v>27</v>
      </c>
      <c r="E225" s="28">
        <f t="shared" si="3"/>
        <v>0</v>
      </c>
      <c r="G225" s="21"/>
      <c r="H225" s="26"/>
      <c r="I225" s="23"/>
      <c r="J225" s="24"/>
    </row>
    <row r="226" spans="3:10">
      <c r="C226" s="5" t="s">
        <v>27</v>
      </c>
      <c r="E226" s="28">
        <f t="shared" si="3"/>
        <v>0</v>
      </c>
      <c r="G226" s="21"/>
      <c r="H226" s="26"/>
      <c r="I226" s="23"/>
      <c r="J226" s="24"/>
    </row>
    <row r="227" spans="3:10">
      <c r="C227" s="5" t="s">
        <v>27</v>
      </c>
      <c r="E227" s="28">
        <f t="shared" si="3"/>
        <v>0</v>
      </c>
      <c r="G227" s="21"/>
      <c r="H227" s="26"/>
      <c r="I227" s="23"/>
      <c r="J227" s="24"/>
    </row>
    <row r="228" spans="3:10">
      <c r="C228" s="5" t="s">
        <v>27</v>
      </c>
      <c r="E228" s="28">
        <f t="shared" si="3"/>
        <v>0</v>
      </c>
      <c r="G228" s="21"/>
      <c r="H228" s="26"/>
      <c r="I228" s="23"/>
      <c r="J228" s="24"/>
    </row>
    <row r="229" spans="3:10">
      <c r="C229" s="5" t="s">
        <v>27</v>
      </c>
      <c r="E229" s="28">
        <f t="shared" si="3"/>
        <v>0</v>
      </c>
      <c r="G229" s="21"/>
      <c r="H229" s="26"/>
      <c r="I229" s="23"/>
      <c r="J229" s="24"/>
    </row>
    <row r="230" spans="3:10">
      <c r="C230" s="5" t="s">
        <v>27</v>
      </c>
      <c r="E230" s="28">
        <f t="shared" si="3"/>
        <v>0</v>
      </c>
      <c r="G230" s="21"/>
      <c r="H230" s="26"/>
      <c r="I230" s="23"/>
      <c r="J230" s="24"/>
    </row>
    <row r="231" spans="3:10">
      <c r="C231" s="5" t="s">
        <v>27</v>
      </c>
      <c r="E231" s="28">
        <f t="shared" si="3"/>
        <v>0</v>
      </c>
      <c r="G231" s="21"/>
      <c r="H231" s="26"/>
      <c r="I231" s="23"/>
      <c r="J231" s="24"/>
    </row>
    <row r="232" spans="3:10">
      <c r="C232" s="5" t="s">
        <v>27</v>
      </c>
      <c r="E232" s="28">
        <f t="shared" si="3"/>
        <v>0</v>
      </c>
      <c r="G232" s="21"/>
      <c r="H232" s="26"/>
      <c r="I232" s="23"/>
      <c r="J232" s="24"/>
    </row>
    <row r="233" spans="3:10">
      <c r="C233" s="5" t="s">
        <v>27</v>
      </c>
      <c r="E233" s="28">
        <f t="shared" si="3"/>
        <v>0</v>
      </c>
      <c r="G233" s="21"/>
      <c r="H233" s="26"/>
      <c r="I233" s="23"/>
      <c r="J233" s="24"/>
    </row>
    <row r="234" spans="3:10">
      <c r="C234" s="5" t="s">
        <v>27</v>
      </c>
      <c r="E234" s="28">
        <f t="shared" si="3"/>
        <v>0</v>
      </c>
      <c r="G234" s="21"/>
      <c r="H234" s="26"/>
      <c r="I234" s="23"/>
      <c r="J234" s="24"/>
    </row>
    <row r="235" spans="3:10" ht="14.45" thickBot="1">
      <c r="C235" s="5" t="s">
        <v>27</v>
      </c>
      <c r="E235" s="29">
        <f t="shared" si="3"/>
        <v>0</v>
      </c>
      <c r="G235" s="21"/>
      <c r="H235" s="26"/>
      <c r="I235" s="23"/>
      <c r="J235" s="24"/>
    </row>
  </sheetData>
  <sheetProtection algorithmName="SHA-512" hashValue="MoqQuyMUGwXTHzJwPnlMtIV6Fa0JU+bc98oG3HxwqplQLayAE6tAFyi0cp1MhJVNR3X3VRJfh3TIuahsZJ9TIA==" saltValue="jhXkqaIAaaqpFhEL6akY5A==" spinCount="100000" sheet="1" objects="1" scenarios="1"/>
  <dataValidations count="1">
    <dataValidation type="list" allowBlank="1" showInputMessage="1" showErrorMessage="1" sqref="E1" xr:uid="{DE1A0C61-682C-4E02-9860-EC3CCAC87CE2}">
      <formula1>$G$1:$J$1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7AA3-36E6-445E-9D53-15E3EC69F9E8}">
  <sheetPr codeName="List4"/>
  <dimension ref="A1:BJ41"/>
  <sheetViews>
    <sheetView showGridLines="0" showRowColHeaders="0" tabSelected="1" zoomScale="95" zoomScaleNormal="95" workbookViewId="0">
      <pane ySplit="4" topLeftCell="A5" activePane="bottomLeft" state="frozen"/>
      <selection pane="bottomLeft" activeCell="A5" sqref="A5"/>
    </sheetView>
  </sheetViews>
  <sheetFormatPr defaultColWidth="9" defaultRowHeight="13.9"/>
  <cols>
    <col min="1" max="1" width="3.625" style="11" customWidth="1"/>
    <col min="2" max="44" width="3.125" style="11" customWidth="1"/>
    <col min="45" max="45" width="3.625" style="11" customWidth="1"/>
    <col min="46" max="48" width="9" style="11" customWidth="1"/>
    <col min="49" max="16384" width="9" style="11"/>
  </cols>
  <sheetData>
    <row r="1" spans="1:62" ht="12.95" customHeight="1" thickBot="1"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23.1" customHeight="1" thickBot="1">
      <c r="B2" s="319" t="str">
        <f>Verzie!E12</f>
        <v>&lt;&lt;  zpět</v>
      </c>
      <c r="C2" s="320"/>
      <c r="D2" s="320"/>
      <c r="E2" s="321"/>
      <c r="G2" s="328" t="str">
        <f>Verzie!E5</f>
        <v xml:space="preserve"> Úvod</v>
      </c>
      <c r="H2" s="329"/>
      <c r="I2" s="329"/>
      <c r="J2" s="329"/>
      <c r="K2" s="330"/>
      <c r="O2" s="328"/>
      <c r="P2" s="329"/>
      <c r="Q2" s="329"/>
      <c r="R2" s="329"/>
      <c r="S2" s="330"/>
      <c r="U2" s="328"/>
      <c r="V2" s="329"/>
      <c r="W2" s="329"/>
      <c r="X2" s="329"/>
      <c r="Y2" s="330"/>
      <c r="AA2" s="328" t="str">
        <f>Verzie!E8</f>
        <v xml:space="preserve"> </v>
      </c>
      <c r="AB2" s="329"/>
      <c r="AC2" s="329"/>
      <c r="AD2" s="329"/>
      <c r="AE2" s="330"/>
      <c r="AI2" s="328" t="str">
        <f>Verzie!E9</f>
        <v xml:space="preserve"> Objednávka</v>
      </c>
      <c r="AJ2" s="329"/>
      <c r="AK2" s="329"/>
      <c r="AL2" s="329"/>
      <c r="AM2" s="330"/>
      <c r="AO2" s="322" t="str">
        <f>Verzie!E13</f>
        <v>vpřed  &gt;&gt;</v>
      </c>
      <c r="AP2" s="323"/>
      <c r="AQ2" s="323"/>
      <c r="AR2" s="32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2.95" customHeight="1" thickBot="1">
      <c r="AT3" s="1"/>
      <c r="AU3" s="6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23.1" customHeight="1" thickBot="1">
      <c r="A4" s="12"/>
      <c r="B4" s="33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337" t="str">
        <f>Verzie!E15</f>
        <v xml:space="preserve"> Základní údaje // Nápověda</v>
      </c>
      <c r="AJ4" s="338"/>
      <c r="AK4" s="338"/>
      <c r="AL4" s="338"/>
      <c r="AM4" s="338"/>
      <c r="AN4" s="338"/>
      <c r="AO4" s="338"/>
      <c r="AP4" s="338"/>
      <c r="AQ4" s="338"/>
      <c r="AR4" s="339"/>
      <c r="AS4" s="12"/>
      <c r="AT4" s="1"/>
      <c r="AU4" s="6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4.45" customHeight="1"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4.4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4.4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4.4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ht="14.4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14.4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 ht="14.4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ht="14.4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4.4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14.4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9"/>
      <c r="V15" s="340" t="s">
        <v>0</v>
      </c>
      <c r="W15" s="340"/>
      <c r="X15" s="340"/>
      <c r="Y15" s="340"/>
      <c r="Z15" s="340"/>
      <c r="AA15" s="340"/>
      <c r="AB15" s="40"/>
      <c r="AC15" s="40"/>
      <c r="AD15" s="340" t="s">
        <v>1</v>
      </c>
      <c r="AE15" s="340"/>
      <c r="AF15" s="340"/>
      <c r="AG15" s="340"/>
      <c r="AH15" s="340"/>
      <c r="AI15" s="340"/>
      <c r="AJ15" s="40"/>
      <c r="AK15" s="40"/>
      <c r="AL15" s="340" t="s">
        <v>2</v>
      </c>
      <c r="AM15" s="340"/>
      <c r="AN15" s="340"/>
      <c r="AO15" s="340"/>
      <c r="AP15" s="340"/>
      <c r="AQ15" s="340"/>
      <c r="AR15" s="39"/>
      <c r="AS15" s="39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14.4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1"/>
      <c r="AU16" s="336" t="str">
        <f>Verzie!E97</f>
        <v xml:space="preserve">Každou novou konfiguraci začněte tlačítkem RESET
</v>
      </c>
      <c r="AV16" s="336"/>
      <c r="AW16" s="336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14.4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1"/>
      <c r="AU17" s="336"/>
      <c r="AV17" s="336"/>
      <c r="AW17" s="336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14.4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1"/>
      <c r="AU18" s="336"/>
      <c r="AV18" s="336"/>
      <c r="AW18" s="336"/>
      <c r="AX18" s="1"/>
      <c r="AY18" s="1"/>
      <c r="AZ18" s="45"/>
      <c r="BA18" s="45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14.4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1"/>
      <c r="AU19" s="1"/>
      <c r="AV19" s="1"/>
      <c r="AW19" s="1"/>
      <c r="AX19" s="1"/>
      <c r="AY19" s="45"/>
      <c r="AZ19" s="45"/>
      <c r="BA19" s="45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14.4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9"/>
      <c r="V20" s="331" t="str">
        <f>Verzie!E123</f>
        <v xml:space="preserve">Sleva od prodejce [%]: </v>
      </c>
      <c r="W20" s="331"/>
      <c r="X20" s="331"/>
      <c r="Y20" s="331"/>
      <c r="Z20" s="331"/>
      <c r="AA20" s="331"/>
      <c r="AB20" s="331"/>
      <c r="AC20" s="33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1"/>
      <c r="AU20" s="1"/>
      <c r="AV20" s="1"/>
      <c r="AW20" s="1"/>
      <c r="AX20" s="1"/>
      <c r="AY20" s="45"/>
      <c r="AZ20" s="45"/>
      <c r="BA20" s="45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14.45" customHeight="1">
      <c r="S21" s="7"/>
      <c r="T21" s="1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1"/>
      <c r="AU21" s="1"/>
      <c r="AV21" s="44"/>
      <c r="AW21" s="44"/>
      <c r="AX21" s="1"/>
      <c r="AY21" s="44"/>
      <c r="AZ21" s="44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14.4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7"/>
      <c r="T22" s="1"/>
      <c r="U22" s="39"/>
      <c r="V22" s="341">
        <v>0</v>
      </c>
      <c r="W22" s="341"/>
      <c r="X22" s="341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1"/>
      <c r="AU22" s="44"/>
      <c r="AV22" s="44"/>
      <c r="AW22" s="44"/>
      <c r="AX22" s="44"/>
      <c r="AY22" s="44"/>
      <c r="AZ22" s="44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ht="14.4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7"/>
      <c r="T23" s="1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1"/>
      <c r="AU23" s="335" t="str">
        <f>Verzie!E96</f>
        <v>Tlačítko "RESET" funguje pouze pokud je aktivní funkce MAKRO. Pokud není aktivní, musíte pole vymazat ručně.</v>
      </c>
      <c r="AV23" s="335"/>
      <c r="AW23" s="335"/>
      <c r="AX23" s="44"/>
      <c r="AY23" s="44"/>
      <c r="AZ23" s="44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 ht="14.4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1"/>
      <c r="AU24" s="335"/>
      <c r="AV24" s="335"/>
      <c r="AW24" s="335"/>
      <c r="AX24" s="44"/>
      <c r="AY24" s="44"/>
      <c r="AZ24" s="44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 ht="14.4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1"/>
      <c r="AU25" s="335"/>
      <c r="AV25" s="335"/>
      <c r="AW25" s="335"/>
      <c r="AX25" s="44"/>
      <c r="AY25" s="44"/>
      <c r="AZ25" s="44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ht="14.4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1"/>
      <c r="AU26" s="335"/>
      <c r="AV26" s="335"/>
      <c r="AW26" s="335"/>
      <c r="AX26" s="44"/>
      <c r="AY26" s="44"/>
      <c r="AZ26" s="44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ht="14.4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1"/>
      <c r="AU27" s="335"/>
      <c r="AV27" s="335"/>
      <c r="AW27" s="335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14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1"/>
      <c r="AU28" s="335"/>
      <c r="AV28" s="335"/>
      <c r="AW28" s="335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14.4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14.4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7"/>
      <c r="V30" s="7"/>
      <c r="W30" s="7"/>
      <c r="X30" s="7"/>
      <c r="Y30" s="7"/>
      <c r="Z30" s="7"/>
      <c r="AA30" s="9"/>
      <c r="AB30" s="9"/>
      <c r="AC30" s="9"/>
      <c r="AD30" s="9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14.4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14.4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14.4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62"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62"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62"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62"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62"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62"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62"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</sheetData>
  <sheetProtection algorithmName="SHA-512" hashValue="ntz27x4jzfHKqMloroBdXusP9WzEhHJd9NTEumAWK+Tl2KufIeFzJMZboXXd4H/OLJU8Wvi0fM5HQiWRTPkXjg==" saltValue="e1jGJk+YJJ4uW0I1bfUolw==" spinCount="100000" sheet="1" objects="1" scenarios="1"/>
  <mergeCells count="15">
    <mergeCell ref="B2:E2"/>
    <mergeCell ref="G2:K2"/>
    <mergeCell ref="O2:S2"/>
    <mergeCell ref="U2:Y2"/>
    <mergeCell ref="AA2:AE2"/>
    <mergeCell ref="AU23:AW28"/>
    <mergeCell ref="AU16:AW18"/>
    <mergeCell ref="AI4:AR4"/>
    <mergeCell ref="AO2:AR2"/>
    <mergeCell ref="V15:AA15"/>
    <mergeCell ref="AD15:AI15"/>
    <mergeCell ref="AL15:AQ15"/>
    <mergeCell ref="AI2:AM2"/>
    <mergeCell ref="V20:AC20"/>
    <mergeCell ref="V22:X22"/>
  </mergeCells>
  <hyperlinks>
    <hyperlink ref="AL15:AQ15" location="'DATA-WL1'!A5" display="WingLine L" xr:uid="{73A80A18-9359-4976-9794-158655383BDA}"/>
    <hyperlink ref="B2:E2" location="NAPOVEDA!A1" display="NAPOVEDA!A1" xr:uid="{77D69BD7-530D-40D6-A07E-B2461E93215E}"/>
    <hyperlink ref="AI4:AR4" location="NAPOVEDA!A1" display="NAPOVEDA!A1" xr:uid="{3754B201-F47A-41C2-A000-0076CEBBC90B}"/>
  </hyperlinks>
  <pageMargins left="0.19685039370078741" right="0.19685039370078741" top="0.19685039370078741" bottom="0.19685039370078741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1217" r:id="rId4" name="Button 3089">
              <controlPr defaultSize="0" autoFill="0" autoPict="0" macro="[0]!RESETTE">
                <anchor moveWithCells="1" sizeWithCells="1">
                  <from>
                    <xdr:col>46</xdr:col>
                    <xdr:colOff>281940</xdr:colOff>
                    <xdr:row>18</xdr:row>
                    <xdr:rowOff>167640</xdr:rowOff>
                  </from>
                  <to>
                    <xdr:col>48</xdr:col>
                    <xdr:colOff>327660</xdr:colOff>
                    <xdr:row>21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BBCD-5A08-4A1F-805A-05C0B2D71BCE}">
  <sheetPr codeName="List24"/>
  <dimension ref="A1:BE59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" defaultRowHeight="13.9"/>
  <cols>
    <col min="1" max="1" width="3.625" style="11" customWidth="1"/>
    <col min="2" max="44" width="3.125" style="11" customWidth="1"/>
    <col min="45" max="45" width="3.625" style="11" customWidth="1"/>
    <col min="46" max="46" width="9" style="11" customWidth="1"/>
    <col min="47" max="47" width="20.25" style="11" hidden="1" customWidth="1"/>
    <col min="48" max="48" width="20.125" style="11" hidden="1" customWidth="1"/>
    <col min="49" max="57" width="9" style="11" hidden="1" customWidth="1"/>
    <col min="58" max="16384" width="9" style="11"/>
  </cols>
  <sheetData>
    <row r="1" spans="1:57" ht="12.95" customHeight="1" thickBot="1"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23.1" customHeight="1" thickBot="1">
      <c r="B2" s="319" t="str">
        <f>Verzie!E12</f>
        <v>&lt;&lt;  zpět</v>
      </c>
      <c r="C2" s="320"/>
      <c r="D2" s="320"/>
      <c r="E2" s="321"/>
      <c r="G2" s="325" t="str">
        <f>Verzie!E5</f>
        <v xml:space="preserve"> Úvod</v>
      </c>
      <c r="H2" s="326"/>
      <c r="I2" s="326"/>
      <c r="J2" s="326"/>
      <c r="K2" s="327"/>
      <c r="O2" s="328"/>
      <c r="P2" s="329"/>
      <c r="Q2" s="329"/>
      <c r="R2" s="329"/>
      <c r="S2" s="330"/>
      <c r="U2" s="325"/>
      <c r="V2" s="326"/>
      <c r="W2" s="326"/>
      <c r="X2" s="326"/>
      <c r="Y2" s="327"/>
      <c r="AA2" s="352" t="str">
        <f>Verzie!E8</f>
        <v xml:space="preserve"> </v>
      </c>
      <c r="AB2" s="353"/>
      <c r="AC2" s="353"/>
      <c r="AD2" s="353"/>
      <c r="AE2" s="354"/>
      <c r="AI2" s="352" t="str">
        <f>Verzie!E9</f>
        <v xml:space="preserve"> Objednávka</v>
      </c>
      <c r="AJ2" s="353"/>
      <c r="AK2" s="353"/>
      <c r="AL2" s="353"/>
      <c r="AM2" s="354"/>
      <c r="AO2" s="319" t="str">
        <f>Verzie!E13</f>
        <v>vpřed  &gt;&gt;</v>
      </c>
      <c r="AP2" s="320"/>
      <c r="AQ2" s="320"/>
      <c r="AR2" s="321"/>
      <c r="AU2" s="15"/>
    </row>
    <row r="3" spans="1:57" ht="12.95" customHeight="1">
      <c r="AU3" s="15"/>
    </row>
    <row r="4" spans="1:57" ht="23.1" customHeight="1">
      <c r="A4" s="12"/>
      <c r="B4" s="14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34" t="s">
        <v>3</v>
      </c>
      <c r="AS4" s="12"/>
      <c r="AU4" s="15"/>
    </row>
    <row r="5" spans="1:57" ht="14.45" customHeight="1">
      <c r="AU5" s="15"/>
    </row>
    <row r="6" spans="1:57" ht="14.45" customHeight="1">
      <c r="AU6" s="15"/>
    </row>
    <row r="7" spans="1:57" ht="14.45" customHeight="1">
      <c r="AU7" s="15"/>
    </row>
    <row r="8" spans="1:57" ht="14.45" customHeight="1">
      <c r="K8" s="351" t="str">
        <f>Verzie!E19</f>
        <v>Zadejte vstupní údaje v mm do modrých políček</v>
      </c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U8" s="15"/>
    </row>
    <row r="9" spans="1:57" ht="14.45" customHeight="1"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U9" s="15"/>
    </row>
    <row r="10" spans="1:57" ht="14.45" customHeight="1">
      <c r="K10" s="350" t="str">
        <f>Verzie!E20</f>
        <v>Pokud po vyplnění soubor uložíte, budete mít uvedené údaje nastavené jako výchozí pro další použití</v>
      </c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U10" s="15"/>
    </row>
    <row r="11" spans="1:57" ht="14.45" customHeight="1"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U11" s="15"/>
    </row>
    <row r="12" spans="1:57" ht="14.45" customHeight="1"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U12" s="15"/>
    </row>
    <row r="13" spans="1:57" ht="14.45" customHeight="1">
      <c r="K13" s="349" t="str">
        <f>IF(AU30=0,"",IF(AU30=10,Verzie!E59,Verzie!E60))</f>
        <v/>
      </c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U13" s="15"/>
    </row>
    <row r="14" spans="1:57" ht="14.45" customHeight="1">
      <c r="AU14" s="15"/>
    </row>
    <row r="15" spans="1:57" ht="14.45" customHeight="1">
      <c r="AU15" s="15"/>
    </row>
    <row r="16" spans="1:57" ht="14.45" customHeight="1">
      <c r="AU16" s="15"/>
    </row>
    <row r="17" spans="5:47" ht="14.45" customHeight="1">
      <c r="AU17" s="15"/>
    </row>
    <row r="18" spans="5:47" ht="14.45" customHeight="1">
      <c r="AU18" s="15"/>
    </row>
    <row r="19" spans="5:47" ht="14.45" customHeight="1">
      <c r="AU19" s="15"/>
    </row>
    <row r="20" spans="5:47" ht="14.45" customHeight="1">
      <c r="AU20" s="15"/>
    </row>
    <row r="21" spans="5:47" ht="14.45" customHeight="1">
      <c r="AB21" s="297"/>
      <c r="AC21" s="35"/>
      <c r="AE21" s="35"/>
      <c r="AF21" s="35" t="str">
        <f>Verzie!E25</f>
        <v>barevné provedení</v>
      </c>
      <c r="AU21" s="15"/>
    </row>
    <row r="22" spans="5:47" ht="14.45" customHeight="1" thickBot="1">
      <c r="AU22" s="15"/>
    </row>
    <row r="23" spans="5:47" ht="14.45" customHeight="1" thickBot="1">
      <c r="J23" s="32"/>
      <c r="AB23" s="342"/>
      <c r="AC23" s="343"/>
      <c r="AD23" s="343"/>
      <c r="AE23" s="343"/>
      <c r="AF23" s="343"/>
      <c r="AG23" s="343"/>
      <c r="AH23" s="343"/>
      <c r="AI23" s="343"/>
      <c r="AJ23" s="343"/>
      <c r="AU23" s="15"/>
    </row>
    <row r="24" spans="5:47" ht="14.45" customHeight="1">
      <c r="AU24" s="15"/>
    </row>
    <row r="25" spans="5:47" ht="14.45" customHeight="1">
      <c r="AU25" s="15" t="s">
        <v>4</v>
      </c>
    </row>
    <row r="26" spans="5:47" ht="14.45" customHeight="1">
      <c r="AU26" s="15">
        <f>IF(AND(G29="",N29="",U29="",AB29="",AB23=""),0,IF(AND(G29&lt;&gt;"",N29&lt;&gt;"",U29&lt;&gt;"",AB29&lt;&gt;"",AB23&lt;&gt;""),10,1))</f>
        <v>0</v>
      </c>
    </row>
    <row r="27" spans="5:47" ht="14.45" customHeight="1">
      <c r="E27" s="35"/>
      <c r="H27" s="35" t="str">
        <f>Verzie!E21</f>
        <v>výška křídla</v>
      </c>
      <c r="J27" s="32"/>
      <c r="O27" s="35" t="str">
        <f>Verzie!E22</f>
        <v>šířka křídla</v>
      </c>
      <c r="P27" s="35"/>
      <c r="V27" s="35" t="str">
        <f>Verzie!E23</f>
        <v>tloušťka křídla</v>
      </c>
      <c r="AB27" s="35"/>
      <c r="AC27" s="35"/>
      <c r="AF27" s="35" t="str">
        <f>Verzie!E24</f>
        <v>materiál dveří</v>
      </c>
      <c r="AL27" s="35"/>
      <c r="AM27" s="35"/>
      <c r="AU27" s="15" t="s">
        <v>5</v>
      </c>
    </row>
    <row r="28" spans="5:47" ht="7.9" customHeight="1" thickBot="1">
      <c r="E28" s="35"/>
      <c r="J28" s="32"/>
      <c r="P28" s="35"/>
      <c r="AB28" s="35"/>
      <c r="AC28" s="35"/>
      <c r="AL28" s="35"/>
      <c r="AU28" s="15">
        <f>IF(C39="",0,IF(C39&lt;&gt;"",10,1))</f>
        <v>0</v>
      </c>
    </row>
    <row r="29" spans="5:47" ht="14.45" customHeight="1" thickBot="1">
      <c r="G29" s="342"/>
      <c r="H29" s="343"/>
      <c r="I29" s="344"/>
      <c r="N29" s="342"/>
      <c r="O29" s="343"/>
      <c r="P29" s="344"/>
      <c r="U29" s="342"/>
      <c r="V29" s="343"/>
      <c r="W29" s="344"/>
      <c r="AB29" s="342"/>
      <c r="AC29" s="343"/>
      <c r="AD29" s="343"/>
      <c r="AE29" s="343"/>
      <c r="AF29" s="343"/>
      <c r="AG29" s="343"/>
      <c r="AH29" s="343"/>
      <c r="AI29" s="343"/>
      <c r="AJ29" s="343"/>
      <c r="AU29" s="15" t="s">
        <v>6</v>
      </c>
    </row>
    <row r="30" spans="5:47" ht="7.9" customHeight="1">
      <c r="AU30" s="15">
        <f>IF(AU26+AU28=0,0,IF(AU26+AU28=20,99,10))</f>
        <v>0</v>
      </c>
    </row>
    <row r="31" spans="5:47" ht="14.45" customHeight="1">
      <c r="F31" s="313"/>
      <c r="G31" s="346" t="str">
        <f>Verzie!E37</f>
        <v>výška křídla od 500 do 2.600 mm</v>
      </c>
      <c r="H31" s="346"/>
      <c r="I31" s="346"/>
      <c r="J31" s="313"/>
      <c r="M31" s="313"/>
      <c r="N31" s="346" t="str">
        <f>Verzie!E38</f>
        <v>šířka křídla od 250 do 600 mm</v>
      </c>
      <c r="O31" s="346"/>
      <c r="P31" s="346"/>
      <c r="Q31" s="313"/>
      <c r="U31" s="346" t="str">
        <f>Verzie!E39</f>
        <v>tloušťka křídla od 16 do 25 mm</v>
      </c>
      <c r="V31" s="346"/>
      <c r="W31" s="346"/>
      <c r="AU31" s="15" t="str">
        <f>Verzie!E60</f>
        <v>OK - všechna potřebná pole jsou vyplněná</v>
      </c>
    </row>
    <row r="32" spans="5:47" ht="14.45" customHeight="1">
      <c r="F32" s="313"/>
      <c r="G32" s="346"/>
      <c r="H32" s="346"/>
      <c r="I32" s="346"/>
      <c r="J32" s="313"/>
      <c r="M32" s="313"/>
      <c r="N32" s="346"/>
      <c r="O32" s="346"/>
      <c r="P32" s="346"/>
      <c r="Q32" s="313"/>
      <c r="U32" s="346"/>
      <c r="V32" s="346"/>
      <c r="W32" s="346"/>
      <c r="AB32" s="347" t="str">
        <f>IF(AND(G29&lt;&gt;"",N29&lt;&gt;"",U29&lt;&gt;"",AB29&lt;&gt;""),ROUND(AU39,1)&amp;" kg - "&amp;Verzie!E40,"")</f>
        <v/>
      </c>
      <c r="AC32" s="347"/>
      <c r="AD32" s="347"/>
      <c r="AE32" s="347"/>
      <c r="AF32" s="347"/>
      <c r="AG32" s="347"/>
      <c r="AH32" s="347"/>
      <c r="AI32" s="347"/>
      <c r="AJ32" s="347"/>
      <c r="AU32" s="15"/>
    </row>
    <row r="33" spans="1:50" ht="14.45" customHeight="1">
      <c r="F33" s="313"/>
      <c r="G33" s="346"/>
      <c r="H33" s="346"/>
      <c r="I33" s="346"/>
      <c r="J33" s="313"/>
      <c r="M33" s="313"/>
      <c r="N33" s="346"/>
      <c r="O33" s="346"/>
      <c r="P33" s="346"/>
      <c r="Q33" s="313"/>
      <c r="U33" s="346"/>
      <c r="V33" s="346"/>
      <c r="W33" s="346"/>
      <c r="AB33" s="348" t="str">
        <f>IF(AND(G29&lt;&gt;"",N29&lt;&gt;"",U29&lt;&gt;"",AB29&lt;&gt;""),IF(AU39&gt;25,Verzie!E41,""),"")</f>
        <v/>
      </c>
      <c r="AC33" s="348"/>
      <c r="AD33" s="348"/>
      <c r="AE33" s="348"/>
      <c r="AF33" s="348"/>
      <c r="AG33" s="348"/>
      <c r="AH33" s="348"/>
      <c r="AI33" s="348"/>
      <c r="AJ33" s="348"/>
      <c r="AU33" s="15"/>
      <c r="AV33" s="11" t="str">
        <f>IF(AU34=C39,4,IF(AU35=C39,"L",IF(AU36=C39,"P","")))</f>
        <v/>
      </c>
      <c r="AW33" s="11" t="s">
        <v>7</v>
      </c>
    </row>
    <row r="34" spans="1:50" ht="14.45" customHeight="1">
      <c r="AB34" s="348" t="str">
        <f>IF(AND(G29&lt;&gt;"",N29&lt;&gt;"",U29&lt;&gt;"",AB29&lt;&gt;""),IF(AU39&gt;25,Verzie!E42,""),"")</f>
        <v/>
      </c>
      <c r="AC34" s="348"/>
      <c r="AD34" s="348"/>
      <c r="AE34" s="348"/>
      <c r="AF34" s="348"/>
      <c r="AG34" s="348"/>
      <c r="AH34" s="348"/>
      <c r="AI34" s="348"/>
      <c r="AJ34" s="348"/>
      <c r="AU34" s="15" t="str">
        <f>Verzie!E27</f>
        <v>4-křídlová skříň</v>
      </c>
      <c r="AV34" s="299" t="str">
        <f>IF(AU34=C39,4,IF(AND(AU35=C39,'DATA-WL5'!$AV$32="OTOC"),"P",IF(AU35=C39,"L",IF(AND(AU36=C39,'DATA-WL5'!$AV$32="OTOC"),"L",IF(AU36=C39,"P","")))))</f>
        <v/>
      </c>
      <c r="AW34" s="302" t="str">
        <f>IF(AV34=4,2,IF(OR(AV34="L",AV34="P"),1,""))</f>
        <v/>
      </c>
    </row>
    <row r="35" spans="1:50" ht="14.45" customHeight="1">
      <c r="AU35" s="15" t="str">
        <f>Verzie!E28</f>
        <v>2-křídlová skříň, otvírání vlevo</v>
      </c>
    </row>
    <row r="36" spans="1:50" ht="14.45" customHeight="1">
      <c r="S36" s="345" t="str">
        <f>IF(C39=AU35,2*N29,"")</f>
        <v/>
      </c>
      <c r="T36" s="345"/>
      <c r="U36" s="345"/>
      <c r="AA36" s="345" t="str">
        <f>IF(C39=AU34,4*N29,"")</f>
        <v/>
      </c>
      <c r="AB36" s="345"/>
      <c r="AC36" s="345"/>
      <c r="AI36" s="345" t="str">
        <f>IF(C39=AU36,2*N29,"")</f>
        <v/>
      </c>
      <c r="AJ36" s="345"/>
      <c r="AK36" s="345"/>
      <c r="AU36" s="15" t="str">
        <f>Verzie!E29</f>
        <v>2-křídlová skříň, otvírání vpravo</v>
      </c>
    </row>
    <row r="37" spans="1:50" ht="14.45" customHeight="1">
      <c r="H37" s="35" t="str">
        <f>Verzie!E26</f>
        <v>počet křídel</v>
      </c>
      <c r="AU37" s="15"/>
    </row>
    <row r="38" spans="1:50" ht="14.45" customHeight="1" thickBot="1">
      <c r="AU38" s="15" t="s">
        <v>8</v>
      </c>
      <c r="AV38" s="299" t="e">
        <f>IF(AU39&lt;=12,"LAH",IF(AND(AU39&gt;12,AU39&lt;=25),"TAZ",0))</f>
        <v>#VALUE!</v>
      </c>
    </row>
    <row r="39" spans="1:50" ht="14.45" customHeight="1" thickBot="1">
      <c r="C39" s="342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4"/>
      <c r="AU39" s="15" t="e">
        <f>G29*N29*U29*0.000000001*AU40</f>
        <v>#VALUE!</v>
      </c>
    </row>
    <row r="40" spans="1:50" ht="14.45" customHeight="1">
      <c r="AU40" s="15" t="str">
        <f>IF(AB29=AU47,AV40,IF(AB29=AU48,AV41,""))</f>
        <v/>
      </c>
      <c r="AV40" s="11">
        <v>670</v>
      </c>
    </row>
    <row r="41" spans="1:50" ht="14.45" customHeight="1">
      <c r="AU41" s="15"/>
      <c r="AV41" s="11">
        <v>770</v>
      </c>
    </row>
    <row r="42" spans="1:50" ht="14.45" customHeight="1">
      <c r="T42" s="286" t="str">
        <f>IF(C39=AU35,Verzie!E30,"")</f>
        <v/>
      </c>
      <c r="AB42" s="286" t="str">
        <f>IF(C39=AU34,Verzie!E30,"")</f>
        <v/>
      </c>
      <c r="AJ42" s="286" t="str">
        <f>IF(C39=AU36,Verzie!E30,"")</f>
        <v/>
      </c>
      <c r="AU42" s="15" t="s">
        <v>9</v>
      </c>
    </row>
    <row r="43" spans="1:50" ht="14.45" customHeight="1">
      <c r="E43" s="35"/>
      <c r="J43" s="32"/>
      <c r="P43" s="35"/>
      <c r="AA43" s="35"/>
      <c r="AU43" s="15">
        <v>1200</v>
      </c>
      <c r="AV43" s="298" t="str">
        <f>IF(AV45&lt;=AU43,"M",IF(AND(AV45&gt;AU43,AV45&lt;=AU44),"V",""))</f>
        <v/>
      </c>
    </row>
    <row r="44" spans="1:50" ht="14.45" customHeight="1">
      <c r="I44" s="35"/>
      <c r="N44" s="32"/>
      <c r="O44" s="349" t="str">
        <f>IF(AU30=0,"",IF(AU30=10,Verzie!E59,Verzie!E60))</f>
        <v/>
      </c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U44" s="15">
        <v>2400</v>
      </c>
      <c r="AW44" s="299">
        <f>IF('DATA-WL5'!D20='DATA-WL5'!AU34,"BEZ",0)</f>
        <v>0</v>
      </c>
      <c r="AX44" s="301" t="s">
        <v>10</v>
      </c>
    </row>
    <row r="45" spans="1:50" ht="14.45" customHeight="1">
      <c r="E45" s="35"/>
      <c r="J45" s="32"/>
      <c r="P45" s="35"/>
      <c r="AA45" s="35"/>
      <c r="AU45" s="15"/>
      <c r="AV45" s="296" t="str">
        <f>IF(S36&lt;&gt;"",S36,IF(AA36&lt;&gt;"",AA36,IF(AI36&lt;&gt;"",AI36,"nič")))</f>
        <v>nič</v>
      </c>
    </row>
    <row r="46" spans="1:50" ht="14.45" customHeight="1">
      <c r="AU46" s="15"/>
    </row>
    <row r="47" spans="1:50" ht="23.1" customHeight="1">
      <c r="A47" s="12"/>
      <c r="B47" s="14" t="str">
        <f>Verzie!E18</f>
        <v>WingLine L - konfigurátor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34" t="str">
        <f>AR4</f>
        <v>WING LINE L</v>
      </c>
      <c r="AS47" s="12"/>
      <c r="AU47" s="15" t="str">
        <f>Verzie!E85</f>
        <v>laminovaná deska</v>
      </c>
    </row>
    <row r="48" spans="1:50" ht="14.45" customHeight="1" thickBot="1">
      <c r="AU48" s="15" t="str">
        <f>Verzie!E86</f>
        <v>MDF deska</v>
      </c>
    </row>
    <row r="49" spans="21:48" ht="23.1" customHeight="1" thickBot="1">
      <c r="U49" s="325" t="str">
        <f>Verzie!E14</f>
        <v>nahoru</v>
      </c>
      <c r="V49" s="326"/>
      <c r="W49" s="326"/>
      <c r="X49" s="326"/>
      <c r="Y49" s="327"/>
      <c r="AU49" s="15"/>
    </row>
    <row r="50" spans="21:48" ht="14.45" customHeight="1">
      <c r="AU50" s="15" t="str">
        <f>Verzie!E82</f>
        <v>stříbrná</v>
      </c>
      <c r="AV50" s="298" t="str">
        <f>IF(AU50=AB23,"S",IF(AU51=AB23,"B",IF(AU52=AB23,"A","")))</f>
        <v/>
      </c>
    </row>
    <row r="51" spans="21:48" ht="14.45" customHeight="1">
      <c r="AU51" s="15" t="str">
        <f>Verzie!E83</f>
        <v>bílá</v>
      </c>
    </row>
    <row r="52" spans="21:48" ht="14.45" customHeight="1">
      <c r="AU52" s="15" t="str">
        <f>Verzie!E84</f>
        <v>antracit</v>
      </c>
    </row>
    <row r="53" spans="21:48" ht="14.45" customHeight="1"/>
    <row r="54" spans="21:48" ht="14.45" customHeight="1"/>
    <row r="55" spans="21:48" ht="14.45" customHeight="1"/>
    <row r="56" spans="21:48" ht="14.45" customHeight="1"/>
    <row r="57" spans="21:48" ht="14.45" customHeight="1"/>
    <row r="58" spans="21:48" ht="14.45" customHeight="1"/>
    <row r="59" spans="21:48" ht="14.45" customHeight="1"/>
  </sheetData>
  <sheetProtection algorithmName="SHA-512" hashValue="JcdNJUxEUDTepBEnset508WpSv8DQjLjzcSCA1loFKGV9XVDEb0RrjBAUPqLVhmVgyQk9TbqoAadiNlXs6jvhQ==" saltValue="fm8PnifRyZw6nPtloGTR/g==" spinCount="100000" sheet="1" objects="1" scenarios="1"/>
  <mergeCells count="27">
    <mergeCell ref="AB23:AJ23"/>
    <mergeCell ref="K10:AB12"/>
    <mergeCell ref="O44:AF44"/>
    <mergeCell ref="AO2:AR2"/>
    <mergeCell ref="K8:AB9"/>
    <mergeCell ref="AA2:AE2"/>
    <mergeCell ref="AI2:AM2"/>
    <mergeCell ref="AI36:AK36"/>
    <mergeCell ref="B2:E2"/>
    <mergeCell ref="G2:K2"/>
    <mergeCell ref="O2:S2"/>
    <mergeCell ref="U2:Y2"/>
    <mergeCell ref="K13:AB13"/>
    <mergeCell ref="U49:Y49"/>
    <mergeCell ref="U29:W29"/>
    <mergeCell ref="G29:I29"/>
    <mergeCell ref="C39:N39"/>
    <mergeCell ref="AA36:AC36"/>
    <mergeCell ref="S36:U36"/>
    <mergeCell ref="N29:P29"/>
    <mergeCell ref="AB29:AJ29"/>
    <mergeCell ref="G31:I33"/>
    <mergeCell ref="N31:P33"/>
    <mergeCell ref="U31:W33"/>
    <mergeCell ref="AB32:AJ32"/>
    <mergeCell ref="AB33:AJ33"/>
    <mergeCell ref="AB34:AJ34"/>
  </mergeCells>
  <conditionalFormatting sqref="K13:AB13">
    <cfRule type="cellIs" dxfId="38" priority="26" stopIfTrue="1" operator="equal">
      <formula>$AU$31</formula>
    </cfRule>
  </conditionalFormatting>
  <conditionalFormatting sqref="K13:AB13">
    <cfRule type="expression" dxfId="37" priority="27" stopIfTrue="1">
      <formula>$AU$30=10</formula>
    </cfRule>
  </conditionalFormatting>
  <conditionalFormatting sqref="G29">
    <cfRule type="expression" dxfId="36" priority="22" stopIfTrue="1">
      <formula>#REF!=0</formula>
    </cfRule>
  </conditionalFormatting>
  <conditionalFormatting sqref="C39">
    <cfRule type="expression" dxfId="35" priority="12" stopIfTrue="1">
      <formula>#REF!=0</formula>
    </cfRule>
  </conditionalFormatting>
  <conditionalFormatting sqref="O44:AF44">
    <cfRule type="cellIs" dxfId="34" priority="9" stopIfTrue="1" operator="equal">
      <formula>$AU$31</formula>
    </cfRule>
  </conditionalFormatting>
  <conditionalFormatting sqref="O44:AF44">
    <cfRule type="expression" dxfId="33" priority="10" stopIfTrue="1">
      <formula>$AU$30=10</formula>
    </cfRule>
  </conditionalFormatting>
  <conditionalFormatting sqref="N29">
    <cfRule type="expression" dxfId="32" priority="5" stopIfTrue="1">
      <formula>#REF!=0</formula>
    </cfRule>
  </conditionalFormatting>
  <conditionalFormatting sqref="U29">
    <cfRule type="expression" dxfId="31" priority="4" stopIfTrue="1">
      <formula>#REF!=0</formula>
    </cfRule>
  </conditionalFormatting>
  <conditionalFormatting sqref="AB29">
    <cfRule type="expression" dxfId="30" priority="2" stopIfTrue="1">
      <formula>#REF!=0</formula>
    </cfRule>
  </conditionalFormatting>
  <conditionalFormatting sqref="AB23">
    <cfRule type="expression" dxfId="29" priority="1" stopIfTrue="1">
      <formula>#REF!=0</formula>
    </cfRule>
  </conditionalFormatting>
  <dataValidations count="6">
    <dataValidation type="list" allowBlank="1" showInputMessage="1" showErrorMessage="1" sqref="C39:N39" xr:uid="{C67818EF-944C-4FFF-9F91-1985241210E1}">
      <formula1>$AU$33:$AU$36</formula1>
    </dataValidation>
    <dataValidation type="whole" allowBlank="1" showInputMessage="1" showErrorMessage="1" sqref="G29:I29" xr:uid="{8435CF0D-E957-413D-ACD7-789C4DF1C9FF}">
      <formula1>500</formula1>
      <formula2>2600</formula2>
    </dataValidation>
    <dataValidation type="whole" allowBlank="1" showInputMessage="1" showErrorMessage="1" sqref="N29:P29" xr:uid="{F3FD4290-40B9-4173-AD52-9B3342608B2F}">
      <formula1>250</formula1>
      <formula2>600</formula2>
    </dataValidation>
    <dataValidation type="list" allowBlank="1" showInputMessage="1" showErrorMessage="1" sqref="AB29:AJ29" xr:uid="{61AED8F5-0DD2-49A4-847E-524ECEE121B1}">
      <formula1>$AU$46:$AU$48</formula1>
    </dataValidation>
    <dataValidation type="list" allowBlank="1" showInputMessage="1" showErrorMessage="1" sqref="AB23:AJ23" xr:uid="{A5CE263B-84DA-4E51-87FA-2E527414A349}">
      <formula1>$AU$49:$AU$52</formula1>
    </dataValidation>
    <dataValidation type="whole" allowBlank="1" showInputMessage="1" showErrorMessage="1" sqref="U29:W29" xr:uid="{76A5FE5F-8E93-48D4-B125-885809155705}">
      <formula1>16</formula1>
      <formula2>25</formula2>
    </dataValidation>
  </dataValidations>
  <hyperlinks>
    <hyperlink ref="M4" location="MENU!A1" display="MENU!A1" xr:uid="{54473E95-97DC-4856-A568-C039D193186A}"/>
    <hyperlink ref="G2:K2" location="'FORM-I'!A1" display="'FORM-I'!A1" xr:uid="{18C93148-41D4-485D-AF94-AEF3CC192401}"/>
    <hyperlink ref="B2:E2" location="'FORM-I'!A1" display="'FORM-I'!A1" xr:uid="{9EEE2962-EFF5-4346-B9AB-312CC6A61398}"/>
    <hyperlink ref="AO2:AR2" location="'DATA-WL2'!A5" display="'DATA-WL2'!A5" xr:uid="{00998F98-63E2-4E0E-961F-1FE2EA1E1892}"/>
    <hyperlink ref="M47" location="MENU!A1" display="MENU!A1" xr:uid="{C42E335C-ABA6-4429-978C-1855D9850C32}"/>
    <hyperlink ref="U49:Y49" location="'DATA-WL1'!A5" display="'DATA-WL1'!A5" xr:uid="{81896B62-921E-4787-94EF-53D5F5C10E99}"/>
  </hyperlink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8C4A-26B9-45F9-95E8-5B7D749F6CA3}">
  <sheetPr codeName="List30"/>
  <dimension ref="A1:BE57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" defaultRowHeight="13.9"/>
  <cols>
    <col min="1" max="1" width="3.625" style="11" customWidth="1"/>
    <col min="2" max="44" width="3.125" style="11" customWidth="1"/>
    <col min="45" max="45" width="3.625" style="11" customWidth="1"/>
    <col min="46" max="46" width="9" style="11" customWidth="1"/>
    <col min="47" max="47" width="20.25" style="11" hidden="1" customWidth="1"/>
    <col min="48" max="48" width="20.125" style="11" hidden="1" customWidth="1"/>
    <col min="49" max="57" width="9" style="11" hidden="1" customWidth="1"/>
    <col min="58" max="16384" width="9" style="11"/>
  </cols>
  <sheetData>
    <row r="1" spans="1:57" ht="12.95" customHeight="1" thickBot="1"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23.1" customHeight="1" thickBot="1">
      <c r="B2" s="319" t="str">
        <f>Verzie!E12</f>
        <v>&lt;&lt;  zpět</v>
      </c>
      <c r="C2" s="320"/>
      <c r="D2" s="320"/>
      <c r="E2" s="321"/>
      <c r="G2" s="325" t="str">
        <f>Verzie!E5</f>
        <v xml:space="preserve"> Úvod</v>
      </c>
      <c r="H2" s="326"/>
      <c r="I2" s="326"/>
      <c r="J2" s="326"/>
      <c r="K2" s="327"/>
      <c r="O2" s="328"/>
      <c r="P2" s="329"/>
      <c r="Q2" s="329"/>
      <c r="R2" s="329"/>
      <c r="S2" s="330"/>
      <c r="U2" s="325"/>
      <c r="V2" s="326"/>
      <c r="W2" s="326"/>
      <c r="X2" s="326"/>
      <c r="Y2" s="327"/>
      <c r="AA2" s="352" t="str">
        <f>Verzie!E8</f>
        <v xml:space="preserve"> </v>
      </c>
      <c r="AB2" s="353"/>
      <c r="AC2" s="353"/>
      <c r="AD2" s="353"/>
      <c r="AE2" s="354"/>
      <c r="AI2" s="352" t="str">
        <f>Verzie!E9</f>
        <v xml:space="preserve"> Objednávka</v>
      </c>
      <c r="AJ2" s="353"/>
      <c r="AK2" s="353"/>
      <c r="AL2" s="353"/>
      <c r="AM2" s="354"/>
      <c r="AO2" s="319" t="str">
        <f>Verzie!E13</f>
        <v>vpřed  &gt;&gt;</v>
      </c>
      <c r="AP2" s="320"/>
      <c r="AQ2" s="320"/>
      <c r="AR2" s="321"/>
      <c r="AU2" s="15"/>
    </row>
    <row r="3" spans="1:57" ht="12.95" customHeight="1">
      <c r="AU3" s="15"/>
    </row>
    <row r="4" spans="1:57" ht="23.1" customHeight="1">
      <c r="A4" s="12"/>
      <c r="B4" s="14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34" t="s">
        <v>3</v>
      </c>
      <c r="AS4" s="12"/>
      <c r="AU4" s="15"/>
    </row>
    <row r="5" spans="1:57" ht="14.45" customHeight="1">
      <c r="AU5" s="15"/>
    </row>
    <row r="6" spans="1:57" ht="14.45" customHeight="1">
      <c r="AU6" s="15"/>
    </row>
    <row r="7" spans="1:57" ht="14.45" customHeight="1">
      <c r="AU7" s="15"/>
    </row>
    <row r="8" spans="1:57" ht="14.45" customHeight="1">
      <c r="K8" s="351" t="str">
        <f>Verzie!E19</f>
        <v>Zadejte vstupní údaje v mm do modrých políček</v>
      </c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U8" s="15"/>
    </row>
    <row r="9" spans="1:57" ht="14.45" customHeight="1"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U9" s="15"/>
    </row>
    <row r="10" spans="1:57" ht="14.45" customHeight="1">
      <c r="K10" s="350" t="str">
        <f>Verzie!E20</f>
        <v>Pokud po vyplnění soubor uložíte, budete mít uvedené údaje nastavené jako výchozí pro další použití</v>
      </c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U10" s="15"/>
    </row>
    <row r="11" spans="1:57" ht="14.45" customHeight="1"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U11" s="15"/>
    </row>
    <row r="12" spans="1:57" ht="14.45" customHeight="1"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U12" s="15"/>
    </row>
    <row r="13" spans="1:57" ht="14.45" customHeight="1">
      <c r="K13" s="349" t="str">
        <f>IF(AU29=0,"",IF(AU29=10,Verzie!E60))</f>
        <v/>
      </c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U13" s="15"/>
    </row>
    <row r="14" spans="1:57" ht="14.45" customHeight="1">
      <c r="AU14" s="15"/>
    </row>
    <row r="15" spans="1:57" ht="14.45" customHeight="1">
      <c r="AU15" s="15"/>
    </row>
    <row r="16" spans="1:57" ht="14.45" customHeight="1">
      <c r="AU16" s="15"/>
    </row>
    <row r="17" spans="3:48" ht="14.45" customHeight="1">
      <c r="AU17" s="15"/>
    </row>
    <row r="18" spans="3:48" ht="14.45" customHeight="1">
      <c r="H18" s="35" t="str">
        <f>Verzie!E32</f>
        <v>Způsob otevírání a zavíraní</v>
      </c>
      <c r="AU18" s="15"/>
    </row>
    <row r="19" spans="3:48" ht="14.45" customHeight="1" thickBot="1">
      <c r="AU19" s="15"/>
    </row>
    <row r="20" spans="3:48" ht="14.45" customHeight="1" thickBot="1">
      <c r="C20" s="342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4"/>
      <c r="AU20" s="15"/>
    </row>
    <row r="21" spans="3:48" ht="14.45" customHeight="1">
      <c r="AU21" s="15"/>
    </row>
    <row r="22" spans="3:48" ht="14.45" customHeight="1">
      <c r="E22" s="357" t="str">
        <f>AU34</f>
        <v>Push to move</v>
      </c>
      <c r="F22" s="357"/>
      <c r="G22" s="357"/>
      <c r="H22" s="357"/>
      <c r="I22" s="357"/>
      <c r="J22" s="357"/>
      <c r="O22" s="357" t="str">
        <f>AU35</f>
        <v>Pull to move</v>
      </c>
      <c r="P22" s="357"/>
      <c r="Q22" s="357"/>
      <c r="R22" s="357"/>
      <c r="S22" s="357"/>
      <c r="T22" s="357"/>
      <c r="AB22" s="317" t="str">
        <f>AU36</f>
        <v>Pull to move Silent</v>
      </c>
      <c r="AM22" s="317" t="str">
        <f>AU37</f>
        <v>Bez otvírací jednotky</v>
      </c>
      <c r="AU22" s="15"/>
      <c r="AV22" s="299">
        <f>IF(AU34=C20,"P2O",IF(AU35=C20,"PUL",IF(AU36=C20,"SIS",IF(AU37=C20,"bez",0))))</f>
        <v>0</v>
      </c>
    </row>
    <row r="23" spans="3:48" ht="14.45" customHeight="1">
      <c r="AU23" s="15"/>
    </row>
    <row r="24" spans="3:48" ht="14.45" customHeight="1">
      <c r="AU24" s="15" t="s">
        <v>4</v>
      </c>
    </row>
    <row r="25" spans="3:48" ht="14.45" customHeight="1">
      <c r="AU25" s="15"/>
    </row>
    <row r="26" spans="3:48" ht="14.45" customHeight="1">
      <c r="P26" s="35"/>
      <c r="V26" s="35"/>
      <c r="AA26" s="35"/>
      <c r="AB26" s="35"/>
      <c r="AJ26" s="35"/>
      <c r="AL26" s="35"/>
      <c r="AM26" s="35"/>
      <c r="AU26" s="15" t="s">
        <v>5</v>
      </c>
    </row>
    <row r="27" spans="3:48" ht="7.9" customHeight="1">
      <c r="P27" s="35"/>
      <c r="AA27" s="35"/>
      <c r="AB27" s="35"/>
      <c r="AL27" s="35"/>
      <c r="AU27" s="15">
        <f>IF(C20="",0,IF(C20&lt;&gt;"",10,1))</f>
        <v>0</v>
      </c>
    </row>
    <row r="28" spans="3:48" ht="14.45" customHeight="1">
      <c r="P28" s="37"/>
      <c r="V28" s="287"/>
      <c r="AU28" s="15" t="s">
        <v>6</v>
      </c>
    </row>
    <row r="29" spans="3:48" ht="7.9" customHeight="1">
      <c r="AU29" s="15">
        <f>IF(AU25+AU27=0,0,IF(AU25+AU27=20,99,10))</f>
        <v>0</v>
      </c>
    </row>
    <row r="30" spans="3:48" ht="14.45" customHeight="1">
      <c r="P30" s="37"/>
      <c r="V30" s="287"/>
      <c r="AU30" s="15"/>
    </row>
    <row r="31" spans="3:48" ht="14.45" customHeight="1">
      <c r="AU31" s="15" t="str">
        <f>Verzie!E60</f>
        <v>OK - všechna potřebná pole jsou vyplněná</v>
      </c>
    </row>
    <row r="32" spans="3:48" ht="14.45" customHeight="1">
      <c r="AU32" s="15"/>
    </row>
    <row r="33" spans="1:47" ht="14.45" customHeight="1">
      <c r="AU33" s="15"/>
    </row>
    <row r="34" spans="1:47" ht="14.45" customHeight="1">
      <c r="F34" s="358" t="str">
        <f>IF(C20=AU34,Verzie!E30,"")</f>
        <v/>
      </c>
      <c r="G34" s="358"/>
      <c r="H34" s="358"/>
      <c r="I34" s="358"/>
      <c r="P34" s="358" t="str">
        <f>IF(C20=AU35,Verzie!E30,"")</f>
        <v/>
      </c>
      <c r="Q34" s="358"/>
      <c r="R34" s="358"/>
      <c r="S34" s="358"/>
      <c r="AB34" s="316" t="str">
        <f>IF(C20=AU36,Verzie!E30,"")</f>
        <v/>
      </c>
      <c r="AM34" s="316" t="str">
        <f>IF(C20=AU37,Verzie!E30,"")</f>
        <v/>
      </c>
      <c r="AU34" s="15" t="s">
        <v>11</v>
      </c>
    </row>
    <row r="35" spans="1:47" ht="14.45" customHeight="1">
      <c r="AU35" s="15" t="s">
        <v>12</v>
      </c>
    </row>
    <row r="36" spans="1:47" ht="14.45" customHeight="1">
      <c r="D36" s="356" t="str">
        <f>Verzie!E33</f>
        <v>Lehkým zatlačením na dveře se tyto automaticky otevřou, zavírají se pak ručně</v>
      </c>
      <c r="E36" s="356"/>
      <c r="F36" s="356"/>
      <c r="G36" s="356"/>
      <c r="H36" s="356"/>
      <c r="I36" s="356"/>
      <c r="J36" s="356"/>
      <c r="K36" s="356"/>
      <c r="N36" s="356" t="str">
        <f>Verzie!E34</f>
        <v>Lehkým tahem za úchytku spustíte samočinné otvírání. Do zavřené polohy se zatlačí ručně</v>
      </c>
      <c r="O36" s="356"/>
      <c r="P36" s="356"/>
      <c r="Q36" s="356"/>
      <c r="R36" s="356"/>
      <c r="S36" s="356"/>
      <c r="T36" s="356"/>
      <c r="U36" s="356"/>
      <c r="Y36" s="356" t="str">
        <f>Verzie!E35</f>
        <v>Krátkým tahem za úchytku spustíte samočinné otvírání. Do zavřené polohy se vrací tlumeně</v>
      </c>
      <c r="Z36" s="356"/>
      <c r="AA36" s="356"/>
      <c r="AB36" s="356"/>
      <c r="AC36" s="356"/>
      <c r="AD36" s="356"/>
      <c r="AE36" s="356"/>
      <c r="AF36" s="356"/>
      <c r="AJ36" s="356" t="str">
        <f>Verzie!E36</f>
        <v>Dveře se otvírají a zavírají ručně</v>
      </c>
      <c r="AK36" s="356"/>
      <c r="AL36" s="356"/>
      <c r="AM36" s="356"/>
      <c r="AN36" s="356"/>
      <c r="AO36" s="356"/>
      <c r="AU36" s="15" t="s">
        <v>13</v>
      </c>
    </row>
    <row r="37" spans="1:47" ht="14.45" customHeight="1">
      <c r="D37" s="356"/>
      <c r="E37" s="356"/>
      <c r="F37" s="356"/>
      <c r="G37" s="356"/>
      <c r="H37" s="356"/>
      <c r="I37" s="356"/>
      <c r="J37" s="356"/>
      <c r="K37" s="356"/>
      <c r="N37" s="356"/>
      <c r="O37" s="356"/>
      <c r="P37" s="356"/>
      <c r="Q37" s="356"/>
      <c r="R37" s="356"/>
      <c r="S37" s="356"/>
      <c r="T37" s="356"/>
      <c r="U37" s="356"/>
      <c r="Y37" s="356"/>
      <c r="Z37" s="356"/>
      <c r="AA37" s="356"/>
      <c r="AB37" s="356"/>
      <c r="AC37" s="356"/>
      <c r="AD37" s="356"/>
      <c r="AE37" s="356"/>
      <c r="AF37" s="356"/>
      <c r="AJ37" s="356"/>
      <c r="AK37" s="356"/>
      <c r="AL37" s="356"/>
      <c r="AM37" s="356"/>
      <c r="AN37" s="356"/>
      <c r="AO37" s="356"/>
      <c r="AU37" s="15" t="str">
        <f>Verzie!E31</f>
        <v>Bez otvírací jednotky</v>
      </c>
    </row>
    <row r="38" spans="1:47" ht="14.45" customHeight="1">
      <c r="D38" s="356"/>
      <c r="E38" s="356"/>
      <c r="F38" s="356"/>
      <c r="G38" s="356"/>
      <c r="H38" s="356"/>
      <c r="I38" s="356"/>
      <c r="J38" s="356"/>
      <c r="K38" s="356"/>
      <c r="N38" s="356"/>
      <c r="O38" s="356"/>
      <c r="P38" s="356"/>
      <c r="Q38" s="356"/>
      <c r="R38" s="356"/>
      <c r="S38" s="356"/>
      <c r="T38" s="356"/>
      <c r="U38" s="356"/>
      <c r="Y38" s="356"/>
      <c r="Z38" s="356"/>
      <c r="AA38" s="356"/>
      <c r="AB38" s="356"/>
      <c r="AC38" s="356"/>
      <c r="AD38" s="356"/>
      <c r="AE38" s="356"/>
      <c r="AF38" s="356"/>
      <c r="AJ38" s="356"/>
      <c r="AK38" s="356"/>
      <c r="AL38" s="356"/>
      <c r="AM38" s="356"/>
      <c r="AN38" s="356"/>
      <c r="AO38" s="356"/>
      <c r="AU38" s="15"/>
    </row>
    <row r="39" spans="1:47" ht="14.45" customHeight="1">
      <c r="D39" s="356"/>
      <c r="E39" s="356"/>
      <c r="F39" s="356"/>
      <c r="G39" s="356"/>
      <c r="H39" s="356"/>
      <c r="I39" s="356"/>
      <c r="J39" s="356"/>
      <c r="K39" s="356"/>
      <c r="N39" s="356"/>
      <c r="O39" s="356"/>
      <c r="P39" s="356"/>
      <c r="Q39" s="356"/>
      <c r="R39" s="356"/>
      <c r="S39" s="356"/>
      <c r="T39" s="356"/>
      <c r="U39" s="356"/>
      <c r="Y39" s="356"/>
      <c r="Z39" s="356"/>
      <c r="AA39" s="356"/>
      <c r="AB39" s="356"/>
      <c r="AC39" s="356"/>
      <c r="AD39" s="356"/>
      <c r="AE39" s="356"/>
      <c r="AF39" s="356"/>
      <c r="AJ39" s="356"/>
      <c r="AK39" s="356"/>
      <c r="AL39" s="356"/>
      <c r="AM39" s="356"/>
      <c r="AN39" s="356"/>
      <c r="AO39" s="356"/>
      <c r="AU39" s="15"/>
    </row>
    <row r="40" spans="1:47" ht="14.45" customHeight="1">
      <c r="D40" s="355" t="s">
        <v>14</v>
      </c>
      <c r="E40" s="355"/>
      <c r="F40" s="355"/>
      <c r="G40" s="355"/>
      <c r="H40" s="355"/>
      <c r="I40" s="355"/>
      <c r="J40" s="355"/>
      <c r="K40" s="355"/>
      <c r="L40" s="301"/>
      <c r="M40" s="301"/>
      <c r="N40" s="355" t="s">
        <v>15</v>
      </c>
      <c r="O40" s="355"/>
      <c r="P40" s="355"/>
      <c r="Q40" s="355"/>
      <c r="R40" s="355"/>
      <c r="S40" s="355"/>
      <c r="T40" s="355"/>
      <c r="U40" s="355"/>
      <c r="V40" s="301"/>
      <c r="W40" s="301"/>
      <c r="X40" s="301"/>
      <c r="Y40" s="355" t="s">
        <v>16</v>
      </c>
      <c r="Z40" s="355"/>
      <c r="AA40" s="355"/>
      <c r="AB40" s="355"/>
      <c r="AC40" s="355"/>
      <c r="AD40" s="355"/>
      <c r="AE40" s="355"/>
      <c r="AF40" s="355"/>
      <c r="AG40" s="301"/>
      <c r="AH40" s="301"/>
      <c r="AI40" s="301"/>
      <c r="AJ40" s="355" t="s">
        <v>17</v>
      </c>
      <c r="AK40" s="355"/>
      <c r="AL40" s="355"/>
      <c r="AM40" s="355"/>
      <c r="AN40" s="355"/>
      <c r="AO40" s="355"/>
      <c r="AU40" s="15"/>
    </row>
    <row r="41" spans="1:47" ht="14.45" customHeight="1">
      <c r="E41" s="35"/>
      <c r="J41" s="32"/>
      <c r="P41" s="35"/>
      <c r="AA41" s="35"/>
      <c r="AU41" s="15"/>
    </row>
    <row r="42" spans="1:47" ht="14.45" customHeight="1">
      <c r="I42" s="35"/>
      <c r="N42" s="32"/>
      <c r="O42" s="349" t="str">
        <f>IF(AU29=0,"",IF(AU29=10,Verzie!E60))</f>
        <v/>
      </c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U42" s="15"/>
    </row>
    <row r="43" spans="1:47" ht="14.45" customHeight="1">
      <c r="E43" s="35"/>
      <c r="J43" s="32"/>
      <c r="P43" s="35"/>
      <c r="AA43" s="35"/>
      <c r="AU43" s="15"/>
    </row>
    <row r="44" spans="1:47" ht="14.45" customHeight="1">
      <c r="AU44" s="15"/>
    </row>
    <row r="45" spans="1:47" ht="23.1" customHeight="1">
      <c r="A45" s="12"/>
      <c r="B45" s="14" t="str">
        <f>Verzie!E18</f>
        <v>WingLine L - konfigurátor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34" t="str">
        <f>AR4</f>
        <v>WING LINE L</v>
      </c>
      <c r="AS45" s="12"/>
      <c r="AU45" s="15"/>
    </row>
    <row r="46" spans="1:47" ht="14.45" customHeight="1" thickBot="1">
      <c r="AU46" s="15"/>
    </row>
    <row r="47" spans="1:47" ht="23.1" customHeight="1" thickBot="1">
      <c r="U47" s="325" t="str">
        <f>Verzie!E14</f>
        <v>nahoru</v>
      </c>
      <c r="V47" s="326"/>
      <c r="W47" s="326"/>
      <c r="X47" s="326"/>
      <c r="Y47" s="327"/>
      <c r="AU47" s="15"/>
    </row>
    <row r="48" spans="1:47" ht="14.45" customHeight="1">
      <c r="AU48" s="15"/>
    </row>
    <row r="49" spans="47:47" ht="14.45" customHeight="1">
      <c r="AU49" s="15"/>
    </row>
    <row r="50" spans="47:47" ht="14.45" customHeight="1">
      <c r="AU50" s="15"/>
    </row>
    <row r="51" spans="47:47" ht="14.45" customHeight="1">
      <c r="AU51" s="15"/>
    </row>
    <row r="52" spans="47:47" ht="14.45" customHeight="1">
      <c r="AU52" s="15"/>
    </row>
    <row r="53" spans="47:47" ht="14.45" customHeight="1">
      <c r="AU53" s="15"/>
    </row>
    <row r="54" spans="47:47" ht="14.45" customHeight="1"/>
    <row r="55" spans="47:47" ht="14.45" customHeight="1"/>
    <row r="56" spans="47:47" ht="14.45" customHeight="1"/>
    <row r="57" spans="47:47" ht="14.45" customHeight="1"/>
  </sheetData>
  <sheetProtection algorithmName="SHA-512" hashValue="y0VW7JBQjXjy3LFhcHbiYB4FaroEyyOLycTGJBcOL1qNhrwDg+Es3RXUvHp+a2m+GEiG2s8Nk1K4/EVfmZl3pQ==" saltValue="B+5f82GJPx3jcvdfVg+Bqg==" spinCount="100000" sheet="1" objects="1" scenarios="1"/>
  <mergeCells count="25">
    <mergeCell ref="O42:AF42"/>
    <mergeCell ref="U47:Y47"/>
    <mergeCell ref="F34:I34"/>
    <mergeCell ref="P34:S34"/>
    <mergeCell ref="D40:K40"/>
    <mergeCell ref="N40:U40"/>
    <mergeCell ref="Y40:AF40"/>
    <mergeCell ref="N36:U39"/>
    <mergeCell ref="D36:K39"/>
    <mergeCell ref="Y36:AF39"/>
    <mergeCell ref="AJ40:AO40"/>
    <mergeCell ref="AO2:AR2"/>
    <mergeCell ref="K8:AB9"/>
    <mergeCell ref="K10:AB12"/>
    <mergeCell ref="K13:AB13"/>
    <mergeCell ref="AI2:AM2"/>
    <mergeCell ref="C20:N20"/>
    <mergeCell ref="AJ36:AO39"/>
    <mergeCell ref="E22:J22"/>
    <mergeCell ref="O22:T22"/>
    <mergeCell ref="B2:E2"/>
    <mergeCell ref="G2:K2"/>
    <mergeCell ref="O2:S2"/>
    <mergeCell ref="U2:Y2"/>
    <mergeCell ref="AA2:AE2"/>
  </mergeCells>
  <conditionalFormatting sqref="K13:AB13 O42:AF42">
    <cfRule type="cellIs" dxfId="28" priority="7" stopIfTrue="1" operator="equal">
      <formula>$AU$31</formula>
    </cfRule>
  </conditionalFormatting>
  <conditionalFormatting sqref="K13:AB13 O42:AF42">
    <cfRule type="expression" dxfId="27" priority="8" stopIfTrue="1">
      <formula>$AU$29=10</formula>
    </cfRule>
  </conditionalFormatting>
  <conditionalFormatting sqref="C20">
    <cfRule type="expression" dxfId="26" priority="3" stopIfTrue="1">
      <formula>#REF!=0</formula>
    </cfRule>
  </conditionalFormatting>
  <dataValidations count="1">
    <dataValidation type="list" allowBlank="1" showInputMessage="1" showErrorMessage="1" sqref="C20:N20" xr:uid="{784785DD-0ACF-4D3B-A63C-A8DF83975E77}">
      <formula1>$AU$33:$AU$37</formula1>
    </dataValidation>
  </dataValidations>
  <hyperlinks>
    <hyperlink ref="M4" location="MENU!A1" display="MENU!A1" xr:uid="{0C1F0720-2DBB-4C5C-B2E3-8EC863F51FB1}"/>
    <hyperlink ref="G2:K2" location="'FORM-I'!A1" display="'FORM-I'!A1" xr:uid="{CF499C0B-8D60-4A63-BC24-AAFD719BA47F}"/>
    <hyperlink ref="B2:E2" location="'DATA-WL1'!A5" display="'DATA-WL1'!A5" xr:uid="{4188467D-25A6-475C-AB99-3EA35CBFC2DD}"/>
    <hyperlink ref="AO2:AR2" location="'DATA-WL3'!A5" display="'DATA-WL3'!A5" xr:uid="{6351B7F9-7252-4ECD-9BF8-A2C264AA9505}"/>
    <hyperlink ref="M45" location="MENU!A1" display="MENU!A1" xr:uid="{4D8DC4F0-95A5-4126-87AF-032F989CCD2D}"/>
    <hyperlink ref="U47:Y47" location="'DATA-WL2'!A5" display="'DATA-WL2'!A5" xr:uid="{866D10E2-E9E7-4EDE-BEA0-17A78CA3ECAA}"/>
    <hyperlink ref="D40" r:id="rId1" xr:uid="{7958A2F2-CA55-4B6B-A57C-3A59177CFCEC}"/>
    <hyperlink ref="N40" r:id="rId2" xr:uid="{01B47177-0D05-4663-9026-630A3E94C683}"/>
    <hyperlink ref="Y40" r:id="rId3" xr:uid="{91DA3097-075C-4390-A36D-E5561E4709BC}"/>
    <hyperlink ref="AJ40" r:id="rId4" xr:uid="{F46A6874-6A34-475A-A8C7-B873A5947324}"/>
  </hyperlink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1ECB-5635-42D1-BE1E-EA03F35304B5}">
  <sheetPr codeName="List31"/>
  <dimension ref="A1:BE61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" defaultRowHeight="13.9"/>
  <cols>
    <col min="1" max="1" width="3.625" style="11" customWidth="1"/>
    <col min="2" max="44" width="3.125" style="11" customWidth="1"/>
    <col min="45" max="45" width="3.625" style="11" customWidth="1"/>
    <col min="46" max="46" width="9" style="11" customWidth="1"/>
    <col min="47" max="47" width="20.25" style="11" hidden="1" customWidth="1"/>
    <col min="48" max="48" width="20.125" style="11" hidden="1" customWidth="1"/>
    <col min="49" max="57" width="9" style="11" hidden="1" customWidth="1"/>
    <col min="58" max="16384" width="9" style="11"/>
  </cols>
  <sheetData>
    <row r="1" spans="1:57" ht="12.95" customHeight="1" thickBot="1"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23.1" customHeight="1" thickBot="1">
      <c r="B2" s="319" t="str">
        <f>Verzie!E12</f>
        <v>&lt;&lt;  zpět</v>
      </c>
      <c r="C2" s="320"/>
      <c r="D2" s="320"/>
      <c r="E2" s="321"/>
      <c r="G2" s="325" t="str">
        <f>Verzie!E5</f>
        <v xml:space="preserve"> Úvod</v>
      </c>
      <c r="H2" s="326"/>
      <c r="I2" s="326"/>
      <c r="J2" s="326"/>
      <c r="K2" s="327"/>
      <c r="O2" s="328"/>
      <c r="P2" s="329"/>
      <c r="Q2" s="329"/>
      <c r="R2" s="329"/>
      <c r="S2" s="330"/>
      <c r="U2" s="325"/>
      <c r="V2" s="326"/>
      <c r="W2" s="326"/>
      <c r="X2" s="326"/>
      <c r="Y2" s="327"/>
      <c r="AA2" s="352" t="str">
        <f>Verzie!E8</f>
        <v xml:space="preserve"> </v>
      </c>
      <c r="AB2" s="353"/>
      <c r="AC2" s="353"/>
      <c r="AD2" s="353"/>
      <c r="AE2" s="354"/>
      <c r="AI2" s="352" t="str">
        <f>Verzie!E9</f>
        <v xml:space="preserve"> Objednávka</v>
      </c>
      <c r="AJ2" s="353"/>
      <c r="AK2" s="353"/>
      <c r="AL2" s="353"/>
      <c r="AM2" s="354"/>
      <c r="AO2" s="319" t="str">
        <f>Verzie!E13</f>
        <v>vpřed  &gt;&gt;</v>
      </c>
      <c r="AP2" s="320"/>
      <c r="AQ2" s="320"/>
      <c r="AR2" s="321"/>
      <c r="AU2" s="15"/>
    </row>
    <row r="3" spans="1:57" ht="12.95" customHeight="1">
      <c r="AU3" s="15"/>
    </row>
    <row r="4" spans="1:57" ht="23.1" customHeight="1">
      <c r="A4" s="12"/>
      <c r="B4" s="14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34" t="s">
        <v>3</v>
      </c>
      <c r="AS4" s="12"/>
      <c r="AU4" s="15"/>
    </row>
    <row r="5" spans="1:57" ht="14.45" customHeight="1">
      <c r="AU5" s="15"/>
    </row>
    <row r="6" spans="1:57" ht="14.45" customHeight="1">
      <c r="AU6" s="15"/>
    </row>
    <row r="7" spans="1:57" ht="14.45" customHeight="1">
      <c r="AU7" s="15"/>
    </row>
    <row r="8" spans="1:57" ht="14.45" customHeight="1">
      <c r="K8" s="351" t="str">
        <f>Verzie!E19</f>
        <v>Zadejte vstupní údaje v mm do modrých políček</v>
      </c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U8" s="15"/>
    </row>
    <row r="9" spans="1:57" ht="14.45" customHeight="1"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U9" s="15"/>
    </row>
    <row r="10" spans="1:57" ht="14.45" customHeight="1">
      <c r="K10" s="350" t="str">
        <f>Verzie!E20</f>
        <v>Pokud po vyplnění soubor uložíte, budete mít uvedené údaje nastavené jako výchozí pro další použití</v>
      </c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U10" s="15"/>
    </row>
    <row r="11" spans="1:57" ht="14.45" customHeight="1"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U11" s="15"/>
    </row>
    <row r="12" spans="1:57" ht="14.45" customHeight="1"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U12" s="15"/>
    </row>
    <row r="13" spans="1:57" ht="14.45" customHeight="1">
      <c r="K13" s="349" t="str">
        <f>IF(AU29=0,"",IF(AU29=10,Verzie!E60))</f>
        <v/>
      </c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U13" s="15"/>
    </row>
    <row r="14" spans="1:57" ht="14.45" customHeight="1">
      <c r="AU14" s="15"/>
    </row>
    <row r="15" spans="1:57" ht="14.45" customHeight="1">
      <c r="AU15" s="15"/>
    </row>
    <row r="16" spans="1:57" ht="14.45" customHeight="1">
      <c r="AU16" s="15"/>
    </row>
    <row r="17" spans="3:47" ht="14.45" customHeight="1">
      <c r="AU17" s="15"/>
    </row>
    <row r="18" spans="3:47" ht="14.45" customHeight="1">
      <c r="H18" s="35" t="str">
        <f>Verzie!E43</f>
        <v>Výběr aretace dveří</v>
      </c>
      <c r="O18" s="293" t="str">
        <f>IF(AND(AV38=0,AV39=0),Verzie!E58,"")</f>
        <v>Pro vybraný způsob otevírání není potřebná žádná aretace</v>
      </c>
      <c r="Q18" s="8"/>
      <c r="AU18" s="15"/>
    </row>
    <row r="19" spans="3:47" ht="14.45" customHeight="1" thickBot="1">
      <c r="AU19" s="15"/>
    </row>
    <row r="20" spans="3:47" ht="14.45" customHeight="1" thickBot="1">
      <c r="C20" s="342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4"/>
      <c r="AU20" s="15"/>
    </row>
    <row r="21" spans="3:47" ht="14.45" customHeight="1">
      <c r="AU21" s="15"/>
    </row>
    <row r="22" spans="3:47" ht="14.45" customHeight="1">
      <c r="W22" s="292" t="str">
        <f>Verzie!E50</f>
        <v>bez úchytky</v>
      </c>
      <c r="AA22" s="289"/>
      <c r="AD22" s="292" t="str">
        <f>Verzie!E51</f>
        <v>s úchytkou</v>
      </c>
      <c r="AU22" s="15"/>
    </row>
    <row r="23" spans="3:47" ht="14.45" customHeight="1">
      <c r="J23" s="35"/>
      <c r="L23" s="314" t="str">
        <f>Verzie!E49&amp;" "&amp;'DATA-WL2'!AU34</f>
        <v>Pro variantu: Push to move</v>
      </c>
      <c r="W23" s="292"/>
      <c r="AA23" s="289"/>
      <c r="AD23" s="292"/>
      <c r="AJ23" s="35"/>
      <c r="AL23" s="36" t="str">
        <f>Verzie!E49&amp;" "&amp;'DATA-WL2'!AU35</f>
        <v>Pro variantu: Pull to move</v>
      </c>
      <c r="AU23" s="15" t="s">
        <v>4</v>
      </c>
    </row>
    <row r="24" spans="3:47" ht="14.45" customHeight="1">
      <c r="AA24" s="289"/>
      <c r="AU24" s="15"/>
    </row>
    <row r="25" spans="3:47" ht="14.45" customHeight="1">
      <c r="AA25" s="289"/>
      <c r="AU25" s="15"/>
    </row>
    <row r="26" spans="3:47" ht="14.45" customHeight="1">
      <c r="P26" s="35"/>
      <c r="V26" s="35"/>
      <c r="AA26" s="290"/>
      <c r="AB26" s="35"/>
      <c r="AJ26" s="35"/>
      <c r="AL26" s="35"/>
      <c r="AM26" s="35"/>
      <c r="AU26" s="15" t="s">
        <v>5</v>
      </c>
    </row>
    <row r="27" spans="3:47" ht="7.9" customHeight="1">
      <c r="P27" s="35"/>
      <c r="AA27" s="290"/>
      <c r="AB27" s="35"/>
      <c r="AL27" s="35"/>
      <c r="AU27" s="15">
        <f>IF(C20="",0,IF(C20&lt;&gt;"",10,1))</f>
        <v>0</v>
      </c>
    </row>
    <row r="28" spans="3:47" ht="14.45" customHeight="1">
      <c r="P28" s="37"/>
      <c r="S28" s="36"/>
      <c r="V28" s="287"/>
      <c r="W28" s="36"/>
      <c r="AA28" s="291"/>
      <c r="AD28" s="36"/>
      <c r="AU28" s="15" t="s">
        <v>6</v>
      </c>
    </row>
    <row r="29" spans="3:47" ht="7.9" customHeight="1">
      <c r="AA29" s="289"/>
      <c r="AU29" s="15">
        <f>IF(AU24+AU27=0,0,IF(AU24+AU27=20,99,10))</f>
        <v>0</v>
      </c>
    </row>
    <row r="30" spans="3:47" ht="7.9" customHeight="1">
      <c r="AA30" s="289"/>
      <c r="AU30" s="15" t="str">
        <f>Verzie!E60</f>
        <v>OK - všechna potřebná pole jsou vyplněná</v>
      </c>
    </row>
    <row r="31" spans="3:47" ht="14.45" customHeight="1">
      <c r="F31" s="36" t="str">
        <f>Verzie!E52</f>
        <v>mechanická</v>
      </c>
      <c r="N31" s="36" t="str">
        <f>Verzie!E53</f>
        <v>magnetická Standard</v>
      </c>
      <c r="P31" s="37"/>
      <c r="S31" s="36"/>
      <c r="V31" s="36" t="str">
        <f>Verzie!E54</f>
        <v>magnetická Design</v>
      </c>
      <c r="AA31" s="289"/>
      <c r="AG31" s="36" t="str">
        <f>Verzie!E53</f>
        <v>magnetická Standard</v>
      </c>
      <c r="AP31" s="36" t="str">
        <f>Verzie!E54</f>
        <v>magnetická Design</v>
      </c>
      <c r="AU31" s="15"/>
    </row>
    <row r="32" spans="3:47" ht="14.45" customHeight="1">
      <c r="N32" s="37" t="str">
        <f>Verzie!E46</f>
        <v>jenom šedá</v>
      </c>
      <c r="V32" s="37" t="str">
        <f>Verzie!E47</f>
        <v>jenom bílá nebo černá</v>
      </c>
      <c r="AA32" s="289"/>
      <c r="AG32" s="37" t="str">
        <f>Verzie!E46</f>
        <v>jenom šedá</v>
      </c>
      <c r="AP32" s="37" t="str">
        <f>Verzie!E47</f>
        <v>jenom bílá nebo černá</v>
      </c>
      <c r="AU32" s="15"/>
    </row>
    <row r="33" spans="3:48" ht="14.45" customHeight="1">
      <c r="AA33" s="289"/>
      <c r="AU33" s="15" t="str">
        <f>Verzie!E44</f>
        <v>Aretace mechanická</v>
      </c>
    </row>
    <row r="34" spans="3:48" ht="14.45" customHeight="1">
      <c r="W34" s="289"/>
      <c r="AA34" s="289"/>
      <c r="AU34" s="15" t="str">
        <f>Verzie!E45</f>
        <v>Aretace magnetická Standard</v>
      </c>
    </row>
    <row r="35" spans="3:48" ht="14.45" customHeight="1">
      <c r="W35" s="289"/>
      <c r="AA35" s="289"/>
      <c r="AU35" s="15" t="str">
        <f>Verzie!E48</f>
        <v>Aretace magnetická Design</v>
      </c>
    </row>
    <row r="36" spans="3:48" ht="14.45" customHeight="1">
      <c r="AA36" s="289"/>
      <c r="AU36" s="15"/>
    </row>
    <row r="37" spans="3:48" ht="14.45" customHeight="1">
      <c r="AA37" s="289"/>
      <c r="AU37" s="15"/>
    </row>
    <row r="38" spans="3:48" ht="14.45" customHeight="1">
      <c r="AA38" s="289"/>
      <c r="AG38" s="316" t="str">
        <f>IF(AND(AV39=1,C20=AU34),Verzie!E30,"")</f>
        <v/>
      </c>
      <c r="AP38" s="316" t="str">
        <f>IF(AND(AV39=1,C20=AU35),Verzie!E30,"")</f>
        <v/>
      </c>
      <c r="AU38" s="15" t="str">
        <f>'DATA-WL2'!AU34</f>
        <v>Push to move</v>
      </c>
      <c r="AV38" s="41">
        <f>IF('DATA-WL2'!C20='DATA-WL3'!AU38,1,0)</f>
        <v>0</v>
      </c>
    </row>
    <row r="39" spans="3:48" ht="14.45" customHeight="1">
      <c r="F39" s="316" t="str">
        <f>IF(AND(AV38=1,C20=AU33),Verzie!E30,"")</f>
        <v/>
      </c>
      <c r="G39" s="288"/>
      <c r="H39" s="288"/>
      <c r="I39" s="288"/>
      <c r="N39" s="316" t="str">
        <f>IF(AND(AV38=1,C20=AU34),Verzie!E30,"")</f>
        <v/>
      </c>
      <c r="V39" s="316" t="str">
        <f>IF(AND(AV38=1,C20=AU35),Verzie!E30,"")</f>
        <v/>
      </c>
      <c r="AA39" s="289"/>
      <c r="AG39" s="286"/>
      <c r="AP39" s="286"/>
      <c r="AU39" s="15" t="str">
        <f>'DATA-WL2'!AU35</f>
        <v>Pull to move</v>
      </c>
      <c r="AV39" s="41">
        <f>IF('DATA-WL2'!C20='DATA-WL3'!AU39,1,0)</f>
        <v>0</v>
      </c>
    </row>
    <row r="40" spans="3:48" ht="14.45" customHeight="1">
      <c r="AA40" s="289"/>
      <c r="AU40" s="15"/>
    </row>
    <row r="41" spans="3:48" ht="14.45" customHeight="1">
      <c r="C41" s="356" t="str">
        <f>Verzie!E55</f>
        <v>vodorovná mezistěna ustupuje o 3 mm od hrany boku</v>
      </c>
      <c r="D41" s="356"/>
      <c r="E41" s="356"/>
      <c r="F41" s="356"/>
      <c r="G41" s="356"/>
      <c r="H41" s="356"/>
      <c r="I41" s="356"/>
      <c r="K41" s="356" t="str">
        <f>Verzie!E56</f>
        <v>vodorovná mezistěna ustupuje o 13 mm od hrany boku</v>
      </c>
      <c r="L41" s="356"/>
      <c r="M41" s="356"/>
      <c r="N41" s="356"/>
      <c r="O41" s="356"/>
      <c r="P41" s="356"/>
      <c r="Q41" s="356"/>
      <c r="S41" s="356" t="str">
        <f>Verzie!E57</f>
        <v>vodorovná mezistěna ustupuje o 8 mm od hrany boku</v>
      </c>
      <c r="T41" s="356"/>
      <c r="U41" s="356"/>
      <c r="V41" s="356"/>
      <c r="W41" s="356"/>
      <c r="X41" s="356"/>
      <c r="Y41" s="356"/>
      <c r="AD41" s="356" t="str">
        <f>Verzie!E56</f>
        <v>vodorovná mezistěna ustupuje o 13 mm od hrany boku</v>
      </c>
      <c r="AE41" s="356"/>
      <c r="AF41" s="356"/>
      <c r="AG41" s="356"/>
      <c r="AH41" s="356"/>
      <c r="AI41" s="356"/>
      <c r="AJ41" s="356"/>
      <c r="AM41" s="356" t="str">
        <f>Verzie!E57</f>
        <v>vodorovná mezistěna ustupuje o 8 mm od hrany boku</v>
      </c>
      <c r="AN41" s="356"/>
      <c r="AO41" s="356"/>
      <c r="AP41" s="356"/>
      <c r="AQ41" s="356"/>
      <c r="AR41" s="356"/>
      <c r="AS41" s="356"/>
      <c r="AU41" s="15"/>
    </row>
    <row r="42" spans="3:48" ht="14.45" customHeight="1">
      <c r="C42" s="356"/>
      <c r="D42" s="356"/>
      <c r="E42" s="356"/>
      <c r="F42" s="356"/>
      <c r="G42" s="356"/>
      <c r="H42" s="356"/>
      <c r="I42" s="356"/>
      <c r="K42" s="356"/>
      <c r="L42" s="356"/>
      <c r="M42" s="356"/>
      <c r="N42" s="356"/>
      <c r="O42" s="356"/>
      <c r="P42" s="356"/>
      <c r="Q42" s="356"/>
      <c r="S42" s="356"/>
      <c r="T42" s="356"/>
      <c r="U42" s="356"/>
      <c r="V42" s="356"/>
      <c r="W42" s="356"/>
      <c r="X42" s="356"/>
      <c r="Y42" s="356"/>
      <c r="AD42" s="356"/>
      <c r="AE42" s="356"/>
      <c r="AF42" s="356"/>
      <c r="AG42" s="356"/>
      <c r="AH42" s="356"/>
      <c r="AI42" s="356"/>
      <c r="AJ42" s="356"/>
      <c r="AM42" s="356"/>
      <c r="AN42" s="356"/>
      <c r="AO42" s="356"/>
      <c r="AP42" s="356"/>
      <c r="AQ42" s="356"/>
      <c r="AR42" s="356"/>
      <c r="AS42" s="356"/>
      <c r="AU42" s="15" t="str">
        <f>IF(AV38=1,AU33,IF(AV39=1,AU34,""))</f>
        <v/>
      </c>
    </row>
    <row r="43" spans="3:48" ht="14.45" customHeight="1">
      <c r="C43" s="356"/>
      <c r="D43" s="356"/>
      <c r="E43" s="356"/>
      <c r="F43" s="356"/>
      <c r="G43" s="356"/>
      <c r="H43" s="356"/>
      <c r="I43" s="356"/>
      <c r="K43" s="356"/>
      <c r="L43" s="356"/>
      <c r="M43" s="356"/>
      <c r="N43" s="356"/>
      <c r="O43" s="356"/>
      <c r="P43" s="356"/>
      <c r="Q43" s="356"/>
      <c r="S43" s="356"/>
      <c r="T43" s="356"/>
      <c r="U43" s="356"/>
      <c r="V43" s="356"/>
      <c r="W43" s="356"/>
      <c r="X43" s="356"/>
      <c r="Y43" s="356"/>
      <c r="AD43" s="356"/>
      <c r="AE43" s="356"/>
      <c r="AF43" s="356"/>
      <c r="AG43" s="356"/>
      <c r="AH43" s="356"/>
      <c r="AI43" s="356"/>
      <c r="AJ43" s="356"/>
      <c r="AM43" s="356"/>
      <c r="AN43" s="356"/>
      <c r="AO43" s="356"/>
      <c r="AP43" s="356"/>
      <c r="AQ43" s="356"/>
      <c r="AR43" s="356"/>
      <c r="AS43" s="356"/>
      <c r="AU43" s="15" t="str">
        <f>IF(AV38=1,AU34,IF(AV39=1,AU35,""))</f>
        <v/>
      </c>
    </row>
    <row r="44" spans="3:48" ht="14.45" customHeight="1">
      <c r="AU44" s="15" t="str">
        <f>IF(AV38=1,AU35,"")</f>
        <v/>
      </c>
    </row>
    <row r="45" spans="3:48" ht="14.45" customHeight="1">
      <c r="E45" s="35"/>
      <c r="J45" s="32"/>
      <c r="P45" s="35"/>
      <c r="AA45" s="35"/>
      <c r="AU45" s="15"/>
    </row>
    <row r="46" spans="3:48" ht="14.45" customHeight="1">
      <c r="I46" s="35"/>
      <c r="N46" s="32"/>
      <c r="O46" s="349" t="str">
        <f>IF(AU29=0,"",IF(AU29=10,Verzie!E60))</f>
        <v/>
      </c>
      <c r="P46" s="349"/>
      <c r="Q46" s="349"/>
      <c r="R46" s="349"/>
      <c r="S46" s="349"/>
      <c r="T46" s="349"/>
      <c r="U46" s="349"/>
      <c r="V46" s="349"/>
      <c r="W46" s="349"/>
      <c r="X46" s="349"/>
      <c r="Y46" s="349"/>
      <c r="Z46" s="349"/>
      <c r="AA46" s="349"/>
      <c r="AB46" s="349"/>
      <c r="AC46" s="349"/>
      <c r="AD46" s="349"/>
      <c r="AE46" s="349"/>
      <c r="AF46" s="349"/>
      <c r="AU46" s="15"/>
    </row>
    <row r="47" spans="3:48" ht="14.45" customHeight="1">
      <c r="E47" s="35"/>
      <c r="J47" s="32"/>
      <c r="P47" s="35"/>
      <c r="AA47" s="35"/>
      <c r="AU47" s="15" t="str">
        <f>Verzie!E30</f>
        <v>Vybrané</v>
      </c>
      <c r="AV47" s="298" t="str">
        <f>IF(F39=AU47,"P-A",IF(N39=AU47,"P-B",IF(V39=AU47,"P-C",IF(AG38=AU47,"S-B",IF(AP38=AU47,"S-C","")))))</f>
        <v/>
      </c>
    </row>
    <row r="48" spans="3:48" ht="14.45" customHeight="1">
      <c r="AU48" s="15"/>
    </row>
    <row r="49" spans="1:47" ht="23.1" customHeight="1">
      <c r="A49" s="12"/>
      <c r="B49" s="14" t="str">
        <f>Verzie!E18</f>
        <v>WingLine L - konfigurátor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34" t="str">
        <f>AR4</f>
        <v>WING LINE L</v>
      </c>
      <c r="AS49" s="12"/>
      <c r="AU49" s="15"/>
    </row>
    <row r="50" spans="1:47" ht="14.45" customHeight="1" thickBot="1">
      <c r="AU50" s="15"/>
    </row>
    <row r="51" spans="1:47" ht="23.1" customHeight="1" thickBot="1">
      <c r="U51" s="325" t="str">
        <f>Verzie!E14</f>
        <v>nahoru</v>
      </c>
      <c r="V51" s="326"/>
      <c r="W51" s="326"/>
      <c r="X51" s="326"/>
      <c r="Y51" s="327"/>
      <c r="AU51" s="15"/>
    </row>
    <row r="52" spans="1:47" ht="14.45" customHeight="1">
      <c r="AU52" s="15"/>
    </row>
    <row r="53" spans="1:47" ht="14.45" customHeight="1">
      <c r="AU53" s="15"/>
    </row>
    <row r="54" spans="1:47" ht="14.45" customHeight="1">
      <c r="AU54" s="15"/>
    </row>
    <row r="55" spans="1:47" ht="14.45" customHeight="1">
      <c r="AU55" s="15"/>
    </row>
    <row r="56" spans="1:47" ht="14.45" customHeight="1"/>
    <row r="57" spans="1:47" ht="14.45" customHeight="1"/>
    <row r="58" spans="1:47" ht="14.45" customHeight="1"/>
    <row r="59" spans="1:47" ht="14.45" customHeight="1"/>
    <row r="60" spans="1:47" ht="14.45" customHeight="1"/>
    <row r="61" spans="1:47" ht="14.45" customHeight="1"/>
  </sheetData>
  <sheetProtection algorithmName="SHA-512" hashValue="XQ6zDdPImLnMUlcyjkPbxyzyYiGGuTdIzKxIvSRuW1ppBSoPOD3yNKmEjvhdxj+H+JdH5l/YtqTvFYm5g+BU5Q==" saltValue="3SzSZ2vapYtzkct95zn1iw==" spinCount="100000" sheet="1" objects="1" scenarios="1"/>
  <mergeCells count="18">
    <mergeCell ref="AD41:AJ43"/>
    <mergeCell ref="AM41:AS43"/>
    <mergeCell ref="O46:AF46"/>
    <mergeCell ref="U51:Y51"/>
    <mergeCell ref="C41:I43"/>
    <mergeCell ref="K41:Q43"/>
    <mergeCell ref="S41:Y43"/>
    <mergeCell ref="AO2:AR2"/>
    <mergeCell ref="K8:AB9"/>
    <mergeCell ref="K10:AB12"/>
    <mergeCell ref="K13:AB13"/>
    <mergeCell ref="C20:N20"/>
    <mergeCell ref="B2:E2"/>
    <mergeCell ref="G2:K2"/>
    <mergeCell ref="O2:S2"/>
    <mergeCell ref="U2:Y2"/>
    <mergeCell ref="AA2:AE2"/>
    <mergeCell ref="AI2:AM2"/>
  </mergeCells>
  <conditionalFormatting sqref="K13:AB13 O46:AF46">
    <cfRule type="cellIs" dxfId="25" priority="4" stopIfTrue="1" operator="equal">
      <formula>$AU$30</formula>
    </cfRule>
  </conditionalFormatting>
  <conditionalFormatting sqref="K13:AB13 O46:AF46">
    <cfRule type="expression" dxfId="24" priority="5" stopIfTrue="1">
      <formula>$AU$29=10</formula>
    </cfRule>
  </conditionalFormatting>
  <conditionalFormatting sqref="C20">
    <cfRule type="expression" dxfId="23" priority="3" stopIfTrue="1">
      <formula>#REF!=0</formula>
    </cfRule>
  </conditionalFormatting>
  <conditionalFormatting sqref="AL23">
    <cfRule type="expression" dxfId="22" priority="2">
      <formula>$AV$39=1</formula>
    </cfRule>
  </conditionalFormatting>
  <conditionalFormatting sqref="L23">
    <cfRule type="expression" dxfId="21" priority="1">
      <formula>$AV$38=1</formula>
    </cfRule>
  </conditionalFormatting>
  <dataValidations count="1">
    <dataValidation type="list" allowBlank="1" showInputMessage="1" showErrorMessage="1" sqref="C20:N20" xr:uid="{5A6B3020-B6D0-48B1-8C80-2A85C329233B}">
      <formula1>$AU$41:$AU$44</formula1>
    </dataValidation>
  </dataValidations>
  <hyperlinks>
    <hyperlink ref="M4" location="MENU!A1" display="MENU!A1" xr:uid="{5CB70A91-C57A-455A-B380-7CA1DDE32AA6}"/>
    <hyperlink ref="G2:K2" location="'FORM-I'!A1" display="'FORM-I'!A1" xr:uid="{8295DBE3-1136-49CD-987E-49FE54B96D41}"/>
    <hyperlink ref="B2:E2" location="'DATA-WL2'!A5" display="'DATA-WL2'!A5" xr:uid="{E70DB7F3-E2B4-4ED8-9F17-A60CA3B1B43A}"/>
    <hyperlink ref="AO2:AR2" location="'DATA-WL4'!A5" display="'DATA-WL4'!A5" xr:uid="{C2CC6386-BFCF-4CDE-A6F6-C80AF9C1F167}"/>
    <hyperlink ref="M49" location="MENU!A1" display="MENU!A1" xr:uid="{12339CD3-9288-4DA2-9559-D3EE6BFEAAFA}"/>
    <hyperlink ref="U51:Y51" location="'DATA-WL2'!A5" display="'DATA-WL2'!A5" xr:uid="{5ED64CEB-E1EB-400C-B6FB-4EAB4DA3E94B}"/>
  </hyperlink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0B03-FD4D-417D-BABC-ED8D96C0ED8C}">
  <sheetPr codeName="List33"/>
  <dimension ref="A1:BE60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" defaultRowHeight="13.9"/>
  <cols>
    <col min="1" max="1" width="3.625" style="11" customWidth="1"/>
    <col min="2" max="44" width="3.125" style="11" customWidth="1"/>
    <col min="45" max="45" width="3.625" style="11" customWidth="1"/>
    <col min="46" max="46" width="9" style="11" customWidth="1"/>
    <col min="47" max="47" width="20.25" style="11" hidden="1" customWidth="1"/>
    <col min="48" max="48" width="20.125" style="11" hidden="1" customWidth="1"/>
    <col min="49" max="57" width="9" style="11" hidden="1" customWidth="1"/>
    <col min="58" max="16384" width="9" style="11"/>
  </cols>
  <sheetData>
    <row r="1" spans="1:57" ht="12.95" customHeight="1" thickBot="1"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23.1" customHeight="1" thickBot="1">
      <c r="B2" s="319" t="str">
        <f>Verzie!E12</f>
        <v>&lt;&lt;  zpět</v>
      </c>
      <c r="C2" s="320"/>
      <c r="D2" s="320"/>
      <c r="E2" s="321"/>
      <c r="G2" s="325" t="str">
        <f>Verzie!E5</f>
        <v xml:space="preserve"> Úvod</v>
      </c>
      <c r="H2" s="326"/>
      <c r="I2" s="326"/>
      <c r="J2" s="326"/>
      <c r="K2" s="327"/>
      <c r="O2" s="328"/>
      <c r="P2" s="329"/>
      <c r="Q2" s="329"/>
      <c r="R2" s="329"/>
      <c r="S2" s="330"/>
      <c r="U2" s="325"/>
      <c r="V2" s="326"/>
      <c r="W2" s="326"/>
      <c r="X2" s="326"/>
      <c r="Y2" s="327"/>
      <c r="AA2" s="352" t="str">
        <f>Verzie!E8</f>
        <v xml:space="preserve"> </v>
      </c>
      <c r="AB2" s="353"/>
      <c r="AC2" s="353"/>
      <c r="AD2" s="353"/>
      <c r="AE2" s="354"/>
      <c r="AI2" s="352" t="str">
        <f>Verzie!E9</f>
        <v xml:space="preserve"> Objednávka</v>
      </c>
      <c r="AJ2" s="353"/>
      <c r="AK2" s="353"/>
      <c r="AL2" s="353"/>
      <c r="AM2" s="354"/>
      <c r="AO2" s="319" t="str">
        <f>Verzie!E13</f>
        <v>vpřed  &gt;&gt;</v>
      </c>
      <c r="AP2" s="320"/>
      <c r="AQ2" s="320"/>
      <c r="AR2" s="321"/>
      <c r="AU2" s="15"/>
    </row>
    <row r="3" spans="1:57" ht="12.95" customHeight="1">
      <c r="AU3" s="15"/>
    </row>
    <row r="4" spans="1:57" ht="23.1" customHeight="1">
      <c r="A4" s="12"/>
      <c r="B4" s="14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34" t="s">
        <v>3</v>
      </c>
      <c r="AS4" s="12"/>
      <c r="AU4" s="15"/>
    </row>
    <row r="5" spans="1:57" ht="14.45" customHeight="1">
      <c r="AU5" s="15"/>
    </row>
    <row r="6" spans="1:57" ht="14.45" customHeight="1">
      <c r="AU6" s="15"/>
    </row>
    <row r="7" spans="1:57" ht="14.45" customHeight="1">
      <c r="AU7" s="15"/>
    </row>
    <row r="8" spans="1:57" ht="14.45" customHeight="1">
      <c r="K8" s="351" t="str">
        <f>Verzie!E19</f>
        <v>Zadejte vstupní údaje v mm do modrých políček</v>
      </c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U8" s="15"/>
    </row>
    <row r="9" spans="1:57" ht="14.45" customHeight="1"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U9" s="15"/>
    </row>
    <row r="10" spans="1:57" ht="14.45" customHeight="1">
      <c r="K10" s="350" t="str">
        <f>Verzie!E20</f>
        <v>Pokud po vyplnění soubor uložíte, budete mít uvedené údaje nastavené jako výchozí pro další použití</v>
      </c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U10" s="15"/>
    </row>
    <row r="11" spans="1:57" ht="14.45" customHeight="1"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U11" s="15"/>
    </row>
    <row r="12" spans="1:57" ht="14.45" customHeight="1"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U12" s="15"/>
    </row>
    <row r="13" spans="1:57" ht="14.45" customHeight="1">
      <c r="K13" s="349" t="str">
        <f>IF(AU28=0,"",IF(AU28=10,Verzie!E60))</f>
        <v/>
      </c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U13" s="15"/>
    </row>
    <row r="14" spans="1:57" ht="14.45" customHeight="1">
      <c r="AU14" s="15"/>
    </row>
    <row r="15" spans="1:57" ht="14.45" customHeight="1">
      <c r="AU15" s="15"/>
    </row>
    <row r="16" spans="1:57" ht="14.45" customHeight="1">
      <c r="AU16" s="15"/>
    </row>
    <row r="17" spans="4:47" ht="14.45" customHeight="1">
      <c r="AU17" s="15"/>
    </row>
    <row r="18" spans="4:47" ht="14.45" customHeight="1">
      <c r="H18" s="35"/>
      <c r="J18" s="35"/>
      <c r="K18" s="35" t="str">
        <f>Verzie!E62</f>
        <v>Středové skládací závěsy</v>
      </c>
      <c r="Q18" s="8"/>
      <c r="AU18" s="15"/>
    </row>
    <row r="19" spans="4:47" ht="14.45" customHeight="1" thickBot="1">
      <c r="AU19" s="15"/>
    </row>
    <row r="20" spans="4:47" ht="14.45" customHeight="1" thickBot="1">
      <c r="D20" s="342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AU20" s="15"/>
    </row>
    <row r="21" spans="4:47" ht="14.45" customHeight="1">
      <c r="AU21" s="15"/>
    </row>
    <row r="22" spans="4:47" ht="14.45" customHeight="1">
      <c r="W22" s="292"/>
      <c r="AD22" s="292"/>
      <c r="AU22" s="15"/>
    </row>
    <row r="23" spans="4:47" ht="14.45" customHeight="1">
      <c r="H23" s="36" t="str">
        <f>Verzie!E63</f>
        <v>miskový seřiditelný na vruty</v>
      </c>
      <c r="J23" s="35"/>
      <c r="K23" s="36"/>
      <c r="L23" s="36"/>
      <c r="S23" s="36" t="str">
        <f>Verzie!E64</f>
        <v>miskový seřiditelný s hmoždinami</v>
      </c>
      <c r="W23" s="36"/>
      <c r="X23" s="36"/>
      <c r="AD23" s="292"/>
      <c r="AE23" s="36" t="str">
        <f>Verzie!E65</f>
        <v>rychlomontážní seřiditelný</v>
      </c>
      <c r="AJ23" s="36"/>
      <c r="AL23" s="36"/>
      <c r="AO23" s="36" t="str">
        <f>Verzie!E66</f>
        <v>rychlomontážní standardní</v>
      </c>
      <c r="AU23" s="15" t="s">
        <v>4</v>
      </c>
    </row>
    <row r="24" spans="4:47" ht="14.45" customHeight="1">
      <c r="P24" s="35"/>
      <c r="AA24" s="35"/>
      <c r="AB24" s="35"/>
      <c r="AL24" s="35"/>
      <c r="AU24" s="15"/>
    </row>
    <row r="25" spans="4:47" ht="14.45" customHeight="1">
      <c r="P25" s="37"/>
      <c r="S25" s="36"/>
      <c r="V25" s="287"/>
      <c r="W25" s="36"/>
      <c r="AA25" s="36"/>
      <c r="AD25" s="36"/>
      <c r="AU25" s="15" t="s">
        <v>5</v>
      </c>
    </row>
    <row r="26" spans="4:47" ht="7.9" customHeight="1">
      <c r="AU26" s="15">
        <f>IF(D20="",0,IF(D20&lt;&gt;"",10,1))</f>
        <v>0</v>
      </c>
    </row>
    <row r="27" spans="4:47" ht="14.45" customHeight="1">
      <c r="AU27" s="15" t="s">
        <v>6</v>
      </c>
    </row>
    <row r="28" spans="4:47" ht="7.9" customHeight="1">
      <c r="F28" s="36"/>
      <c r="N28" s="36"/>
      <c r="P28" s="37"/>
      <c r="S28" s="36"/>
      <c r="V28" s="36"/>
      <c r="AG28" s="36"/>
      <c r="AP28" s="36"/>
      <c r="AU28" s="15">
        <f>IF(AU24+AU26=0,0,IF(AU24+AU26=20,99,10))</f>
        <v>0</v>
      </c>
    </row>
    <row r="29" spans="4:47" ht="7.9" customHeight="1">
      <c r="AU29" s="15" t="str">
        <f>Verzie!E60</f>
        <v>OK - všechna potřebná pole jsou vyplněná</v>
      </c>
    </row>
    <row r="30" spans="4:47" ht="14.45" customHeight="1">
      <c r="AU30" s="15"/>
    </row>
    <row r="31" spans="4:47" ht="14.45" customHeight="1">
      <c r="AU31" s="15"/>
    </row>
    <row r="32" spans="4:47" ht="14.45" customHeight="1">
      <c r="AU32" s="15" t="str">
        <f>Verzie!E63</f>
        <v>miskový seřiditelný na vruty</v>
      </c>
    </row>
    <row r="33" spans="1:51" ht="14.45" customHeight="1">
      <c r="AU33" s="15" t="str">
        <f>Verzie!E64</f>
        <v>miskový seřiditelný s hmoždinami</v>
      </c>
    </row>
    <row r="34" spans="1:51" ht="14.45" customHeight="1">
      <c r="K34" s="286"/>
      <c r="AU34" s="15" t="str">
        <f>Verzie!E65</f>
        <v>rychlomontážní seřiditelný</v>
      </c>
    </row>
    <row r="35" spans="1:51" ht="14.45" customHeight="1">
      <c r="AE35" s="316" t="str">
        <f>IF(D20=AU34,Verzie!E30,"")</f>
        <v/>
      </c>
      <c r="AO35" s="316" t="str">
        <f>IF(D20=AU35,Verzie!E30,"")</f>
        <v/>
      </c>
      <c r="AU35" s="15" t="str">
        <f>Verzie!E66</f>
        <v>rychlomontážní standardní</v>
      </c>
    </row>
    <row r="36" spans="1:51" ht="14.45" customHeight="1">
      <c r="G36" s="288"/>
      <c r="H36" s="288"/>
      <c r="I36" s="288"/>
      <c r="K36" s="295"/>
      <c r="AP36" s="286"/>
      <c r="AU36" s="15"/>
    </row>
    <row r="37" spans="1:51" ht="14.45" customHeight="1">
      <c r="H37" s="316" t="str">
        <f>IF(D20=AU32,Verzie!E30,"")</f>
        <v/>
      </c>
      <c r="S37" s="316" t="str">
        <f>IF(D20=AU33,Verzie!E30,"")</f>
        <v/>
      </c>
      <c r="AU37" s="15"/>
      <c r="AV37" s="299" t="str">
        <f>IF(H37=AU46,"AA",IF(S37=AU46,"BB",IF(AE35=AU46,"CC",IF(AO35=AU46,"DD",""))))</f>
        <v/>
      </c>
      <c r="AW37" s="304">
        <f>VLOOKUP(AU39,AW40:AY44,2,FALSE)</f>
        <v>1</v>
      </c>
    </row>
    <row r="38" spans="1:51" ht="14.45" customHeight="1">
      <c r="AE38" s="292" t="str">
        <f>Verzie!E68</f>
        <v>nastavení mezery +/- 1 mm</v>
      </c>
      <c r="AO38" s="292" t="str">
        <f>Verzie!E70</f>
        <v>nastavení mezery = NELZE</v>
      </c>
      <c r="AU38" s="15" t="s">
        <v>18</v>
      </c>
      <c r="AV38" s="299" t="str">
        <f>IF(H37=AU46,"AA-3",IF(S37=AU46,"BB-3",IF(AE35=AU46,"CC-3",IF(AO35=AU46,"DD-3",""))))</f>
        <v/>
      </c>
      <c r="AW38" s="304">
        <f>VLOOKUP(AU39,AW40:AY44,3,FALSE)</f>
        <v>0</v>
      </c>
    </row>
    <row r="39" spans="1:51" ht="14.45" customHeight="1">
      <c r="H39" s="292" t="str">
        <f>Verzie!E67</f>
        <v>nastavení mezery +/- 2 mm</v>
      </c>
      <c r="S39" s="292" t="str">
        <f>Verzie!E67</f>
        <v>nastavení mezery +/- 2 mm</v>
      </c>
      <c r="AE39" s="292" t="str">
        <f>Verzie!E69</f>
        <v>nastavení výšky +/- 2 mm</v>
      </c>
      <c r="AO39" s="292" t="str">
        <f>Verzie!E71</f>
        <v>nastavení výšky = NELZE</v>
      </c>
      <c r="AU39" s="307">
        <f>IF(AND(AU41&lt;=AV44,AU41&gt;AV43),6,IF(AND(AU41&lt;=AV43,AU41&gt;AV42),5,IF(AND(AU41&lt;=AV42,AU41&gt;AV41),4,IF(AND(AU41&lt;=AV41,AU41&gt;AV40),3,IF(AU41&lt;=AV40,2,0)))))</f>
        <v>2</v>
      </c>
      <c r="AV39" s="36" t="s">
        <v>19</v>
      </c>
      <c r="AW39" s="11" t="s">
        <v>20</v>
      </c>
      <c r="AX39" s="11" t="s">
        <v>21</v>
      </c>
      <c r="AY39" s="11" t="s">
        <v>22</v>
      </c>
    </row>
    <row r="40" spans="1:51" ht="14.45" customHeight="1">
      <c r="H40" s="292" t="str">
        <f>Verzie!E71</f>
        <v>nastavení výšky = NELZE</v>
      </c>
      <c r="S40" s="292" t="str">
        <f>Verzie!E71</f>
        <v>nastavení výšky = NELZE</v>
      </c>
      <c r="AU40" s="303" t="s">
        <v>19</v>
      </c>
      <c r="AV40" s="36">
        <v>1000</v>
      </c>
      <c r="AW40" s="41">
        <v>2</v>
      </c>
      <c r="AX40" s="11">
        <v>1</v>
      </c>
      <c r="AY40" s="11">
        <v>0</v>
      </c>
    </row>
    <row r="41" spans="1:51" ht="14.45" customHeight="1">
      <c r="AU41" s="303">
        <f>'DATA-WL1'!G29</f>
        <v>0</v>
      </c>
      <c r="AV41" s="36">
        <v>1700</v>
      </c>
      <c r="AW41" s="41">
        <v>3</v>
      </c>
      <c r="AX41" s="11">
        <v>0</v>
      </c>
      <c r="AY41" s="11">
        <v>1</v>
      </c>
    </row>
    <row r="42" spans="1:51" ht="14.45" customHeight="1">
      <c r="AU42" s="15"/>
      <c r="AV42" s="36">
        <v>2200</v>
      </c>
      <c r="AW42" s="41">
        <v>4</v>
      </c>
      <c r="AX42" s="11">
        <v>2</v>
      </c>
      <c r="AY42" s="11">
        <v>0</v>
      </c>
    </row>
    <row r="43" spans="1:51" ht="14.45" customHeight="1">
      <c r="I43" s="35"/>
      <c r="N43" s="32"/>
      <c r="O43" s="349" t="str">
        <f>IF(AU28=0,"",IF(AU28=10,Verzie!E60))</f>
        <v/>
      </c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U43" s="15"/>
      <c r="AV43" s="36">
        <v>2400</v>
      </c>
      <c r="AW43" s="41">
        <v>5</v>
      </c>
      <c r="AX43" s="11">
        <v>1</v>
      </c>
      <c r="AY43" s="11">
        <v>1</v>
      </c>
    </row>
    <row r="44" spans="1:51" ht="14.45" customHeight="1">
      <c r="E44" s="35"/>
      <c r="J44" s="32"/>
      <c r="P44" s="35"/>
      <c r="AA44" s="35"/>
      <c r="AU44" s="15"/>
      <c r="AV44" s="36">
        <v>2600</v>
      </c>
      <c r="AW44" s="41">
        <v>6</v>
      </c>
      <c r="AX44" s="11">
        <v>0</v>
      </c>
      <c r="AY44" s="11">
        <v>2</v>
      </c>
    </row>
    <row r="45" spans="1:51" ht="14.45" customHeight="1">
      <c r="AU45" s="15"/>
    </row>
    <row r="46" spans="1:51" ht="23.1" customHeight="1">
      <c r="A46" s="12"/>
      <c r="B46" s="14" t="str">
        <f>Verzie!E18</f>
        <v>WingLine L - konfigurátor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34" t="str">
        <f>AR4</f>
        <v>WING LINE L</v>
      </c>
      <c r="AS46" s="12"/>
      <c r="AU46" s="15" t="str">
        <f>Verzie!E30</f>
        <v>Vybrané</v>
      </c>
    </row>
    <row r="47" spans="1:51" ht="14.45" customHeight="1" thickBot="1">
      <c r="AU47" s="15"/>
    </row>
    <row r="48" spans="1:51" ht="23.1" customHeight="1" thickBot="1">
      <c r="U48" s="325" t="str">
        <f>Verzie!E14</f>
        <v>nahoru</v>
      </c>
      <c r="V48" s="326"/>
      <c r="W48" s="326"/>
      <c r="X48" s="326"/>
      <c r="Y48" s="327"/>
      <c r="AU48" s="15"/>
    </row>
    <row r="49" spans="47:47" ht="14.45" customHeight="1">
      <c r="AU49" s="15"/>
    </row>
    <row r="50" spans="47:47" ht="23.1" customHeight="1">
      <c r="AU50" s="15"/>
    </row>
    <row r="51" spans="47:47" ht="14.45" customHeight="1">
      <c r="AU51" s="15"/>
    </row>
    <row r="52" spans="47:47" ht="14.45" customHeight="1">
      <c r="AU52" s="15"/>
    </row>
    <row r="53" spans="47:47" ht="14.45" customHeight="1">
      <c r="AU53" s="15"/>
    </row>
    <row r="54" spans="47:47" ht="14.45" customHeight="1">
      <c r="AU54" s="15"/>
    </row>
    <row r="55" spans="47:47" ht="14.45" customHeight="1">
      <c r="AU55" s="15"/>
    </row>
    <row r="56" spans="47:47" ht="14.45" customHeight="1">
      <c r="AU56" s="15"/>
    </row>
    <row r="57" spans="47:47" ht="14.45" customHeight="1">
      <c r="AU57" s="15"/>
    </row>
    <row r="58" spans="47:47" ht="14.45" customHeight="1">
      <c r="AU58" s="15"/>
    </row>
    <row r="59" spans="47:47" ht="14.45" customHeight="1">
      <c r="AU59" s="15"/>
    </row>
    <row r="60" spans="47:47" ht="14.45" customHeight="1"/>
  </sheetData>
  <sheetProtection algorithmName="SHA-512" hashValue="2WNU2MrWPwctKDvjG1BIFFAXqFD7zojRfeLSgyNech4djcjZGxf99oz0LtsmKd+MlddnGWb3xIVh9/FXwSdlog==" saltValue="CV7KMrq+UPewP1Se58mn2Q==" spinCount="100000" sheet="1" objects="1" scenarios="1"/>
  <mergeCells count="13">
    <mergeCell ref="O43:AF43"/>
    <mergeCell ref="U48:Y48"/>
    <mergeCell ref="D20:R20"/>
    <mergeCell ref="AO2:AR2"/>
    <mergeCell ref="K8:AB9"/>
    <mergeCell ref="K10:AB12"/>
    <mergeCell ref="K13:AB13"/>
    <mergeCell ref="B2:E2"/>
    <mergeCell ref="G2:K2"/>
    <mergeCell ref="O2:S2"/>
    <mergeCell ref="U2:Y2"/>
    <mergeCell ref="AA2:AE2"/>
    <mergeCell ref="AI2:AM2"/>
  </mergeCells>
  <conditionalFormatting sqref="K13:AB13 O43:AF43">
    <cfRule type="cellIs" dxfId="20" priority="14" stopIfTrue="1" operator="equal">
      <formula>$AU$29</formula>
    </cfRule>
  </conditionalFormatting>
  <conditionalFormatting sqref="K13:AB13 O43:AF43">
    <cfRule type="expression" dxfId="19" priority="15" stopIfTrue="1">
      <formula>$AU$28=10</formula>
    </cfRule>
  </conditionalFormatting>
  <conditionalFormatting sqref="AL23">
    <cfRule type="expression" dxfId="18" priority="12">
      <formula>$AV$38=1</formula>
    </cfRule>
  </conditionalFormatting>
  <conditionalFormatting sqref="K23:L23">
    <cfRule type="expression" dxfId="17" priority="11">
      <formula>$AV$37=1</formula>
    </cfRule>
  </conditionalFormatting>
  <conditionalFormatting sqref="W23:X23">
    <cfRule type="expression" dxfId="16" priority="10">
      <formula>$AV$37=1</formula>
    </cfRule>
  </conditionalFormatting>
  <conditionalFormatting sqref="AJ23">
    <cfRule type="expression" dxfId="15" priority="9">
      <formula>$AV$38=1</formula>
    </cfRule>
  </conditionalFormatting>
  <conditionalFormatting sqref="K36">
    <cfRule type="expression" dxfId="14" priority="7">
      <formula>$AV$37=1</formula>
    </cfRule>
  </conditionalFormatting>
  <conditionalFormatting sqref="AO23">
    <cfRule type="expression" dxfId="13" priority="6">
      <formula>$AV$38=1</formula>
    </cfRule>
  </conditionalFormatting>
  <conditionalFormatting sqref="AE23">
    <cfRule type="expression" dxfId="12" priority="5">
      <formula>$AV$37=1</formula>
    </cfRule>
  </conditionalFormatting>
  <conditionalFormatting sqref="S23">
    <cfRule type="expression" dxfId="11" priority="4">
      <formula>$AV$37=1</formula>
    </cfRule>
  </conditionalFormatting>
  <conditionalFormatting sqref="H23">
    <cfRule type="expression" dxfId="10" priority="3">
      <formula>$AV$37=1</formula>
    </cfRule>
  </conditionalFormatting>
  <conditionalFormatting sqref="D20">
    <cfRule type="expression" dxfId="9" priority="1" stopIfTrue="1">
      <formula>#REF!=0</formula>
    </cfRule>
  </conditionalFormatting>
  <dataValidations count="1">
    <dataValidation type="list" allowBlank="1" showInputMessage="1" showErrorMessage="1" sqref="D20:R20" xr:uid="{CD4DA359-6DCA-4F58-BB4C-BC0C2A3FB998}">
      <formula1>$AU$31:$AU$35</formula1>
    </dataValidation>
  </dataValidations>
  <hyperlinks>
    <hyperlink ref="M4" location="MENU!A1" display="MENU!A1" xr:uid="{CB265A01-1E26-4659-A372-EC406BD8BA05}"/>
    <hyperlink ref="G2:K2" location="'FORM-I'!A1" display="'FORM-I'!A1" xr:uid="{A7FF5F43-615F-4326-AAD5-69F9F52D1325}"/>
    <hyperlink ref="B2:E2" location="'DATA-WL3'!A5" display="'DATA-WL3'!A5" xr:uid="{EC0BE523-F401-42CC-A593-8D8121EFCB78}"/>
    <hyperlink ref="AO2:AR2" location="'DATA-WL5'!A5" display="'DATA-WL5'!A5" xr:uid="{2C8C0F4E-2B97-48A2-A7CF-485FB831E344}"/>
    <hyperlink ref="M46" location="MENU!A1" display="MENU!A1" xr:uid="{A25734CA-7C13-48F5-BCA7-C052D292716D}"/>
    <hyperlink ref="U48:Y48" location="'DATA-WL2'!A5" display="'DATA-WL2'!A5" xr:uid="{B26C983A-285A-40C7-92F8-B2096493A4BF}"/>
  </hyperlink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D202-26C4-4D4F-AF32-0F928BE200F8}">
  <sheetPr codeName="List32"/>
  <dimension ref="A1:BE58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" defaultRowHeight="13.9"/>
  <cols>
    <col min="1" max="1" width="3.625" style="11" customWidth="1"/>
    <col min="2" max="44" width="3.125" style="11" customWidth="1"/>
    <col min="45" max="45" width="3.625" style="11" customWidth="1"/>
    <col min="46" max="46" width="9" style="11" customWidth="1"/>
    <col min="47" max="47" width="20.25" style="11" hidden="1" customWidth="1"/>
    <col min="48" max="48" width="20.125" style="11" hidden="1" customWidth="1"/>
    <col min="49" max="57" width="9" style="11" hidden="1" customWidth="1"/>
    <col min="58" max="16384" width="9" style="11"/>
  </cols>
  <sheetData>
    <row r="1" spans="1:57" ht="12.95" customHeight="1" thickBot="1"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23.1" customHeight="1" thickBot="1">
      <c r="B2" s="319" t="str">
        <f>Verzie!E12</f>
        <v>&lt;&lt;  zpět</v>
      </c>
      <c r="C2" s="320"/>
      <c r="D2" s="320"/>
      <c r="E2" s="321"/>
      <c r="G2" s="325" t="str">
        <f>Verzie!E5</f>
        <v xml:space="preserve"> Úvod</v>
      </c>
      <c r="H2" s="326"/>
      <c r="I2" s="326"/>
      <c r="J2" s="326"/>
      <c r="K2" s="327"/>
      <c r="O2" s="328"/>
      <c r="P2" s="329"/>
      <c r="Q2" s="329"/>
      <c r="R2" s="329"/>
      <c r="S2" s="330"/>
      <c r="U2" s="325"/>
      <c r="V2" s="326"/>
      <c r="W2" s="326"/>
      <c r="X2" s="326"/>
      <c r="Y2" s="327"/>
      <c r="AA2" s="352" t="str">
        <f>Verzie!E8</f>
        <v xml:space="preserve"> </v>
      </c>
      <c r="AB2" s="353"/>
      <c r="AC2" s="353"/>
      <c r="AD2" s="353"/>
      <c r="AE2" s="354"/>
      <c r="AI2" s="325" t="str">
        <f>Verzie!E9</f>
        <v xml:space="preserve"> Objednávka</v>
      </c>
      <c r="AJ2" s="326"/>
      <c r="AK2" s="326"/>
      <c r="AL2" s="326"/>
      <c r="AM2" s="327"/>
      <c r="AO2" s="319" t="str">
        <f>Verzie!E13</f>
        <v>vpřed  &gt;&gt;</v>
      </c>
      <c r="AP2" s="320"/>
      <c r="AQ2" s="320"/>
      <c r="AR2" s="321"/>
      <c r="AU2" s="15"/>
    </row>
    <row r="3" spans="1:57" ht="12.95" customHeight="1">
      <c r="AU3" s="15"/>
    </row>
    <row r="4" spans="1:57" ht="23.1" customHeight="1">
      <c r="A4" s="12"/>
      <c r="B4" s="14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34" t="s">
        <v>3</v>
      </c>
      <c r="AS4" s="12"/>
      <c r="AU4" s="15"/>
    </row>
    <row r="5" spans="1:57" ht="14.45" customHeight="1">
      <c r="AU5" s="15"/>
    </row>
    <row r="6" spans="1:57" ht="14.45" customHeight="1">
      <c r="AU6" s="15"/>
    </row>
    <row r="7" spans="1:57" ht="14.45" customHeight="1">
      <c r="AU7" s="15"/>
    </row>
    <row r="8" spans="1:57" ht="14.45" customHeight="1">
      <c r="K8" s="351" t="str">
        <f>Verzie!E19</f>
        <v>Zadejte vstupní údaje v mm do modrých políček</v>
      </c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U8" s="15"/>
    </row>
    <row r="9" spans="1:57" ht="14.45" customHeight="1"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U9" s="15"/>
    </row>
    <row r="10" spans="1:57" ht="14.45" customHeight="1">
      <c r="K10" s="350" t="str">
        <f>Verzie!E20</f>
        <v>Pokud po vyplnění soubor uložíte, budete mít uvedené údaje nastavené jako výchozí pro další použití</v>
      </c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U10" s="15"/>
    </row>
    <row r="11" spans="1:57" ht="14.45" customHeight="1"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U11" s="15"/>
    </row>
    <row r="12" spans="1:57" ht="14.45" customHeight="1"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U12" s="15"/>
    </row>
    <row r="13" spans="1:57" ht="14.45" customHeight="1">
      <c r="K13" s="349" t="str">
        <f>IF(AU28=0,"",IF(AU28=10,Verzie!E60))</f>
        <v/>
      </c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U13" s="15"/>
    </row>
    <row r="14" spans="1:57" ht="14.45" customHeight="1">
      <c r="AU14" s="15"/>
    </row>
    <row r="15" spans="1:57" ht="14.45" customHeight="1">
      <c r="AU15" s="15"/>
    </row>
    <row r="16" spans="1:57" ht="14.45" customHeight="1">
      <c r="AU16" s="15"/>
    </row>
    <row r="17" spans="4:48" ht="14.45" customHeight="1">
      <c r="AU17" s="15"/>
    </row>
    <row r="18" spans="4:48" ht="14.45" customHeight="1">
      <c r="H18" s="35" t="str">
        <f>Verzie!E73</f>
        <v>Poloha spodního profilu</v>
      </c>
      <c r="Q18" s="8"/>
      <c r="AU18" s="15"/>
    </row>
    <row r="19" spans="4:48" ht="14.45" customHeight="1" thickBot="1">
      <c r="AU19" s="15"/>
    </row>
    <row r="20" spans="4:48" ht="14.45" customHeight="1" thickBot="1">
      <c r="D20" s="342"/>
      <c r="E20" s="343"/>
      <c r="F20" s="343"/>
      <c r="G20" s="343"/>
      <c r="H20" s="343"/>
      <c r="I20" s="343"/>
      <c r="J20" s="343"/>
      <c r="K20" s="343"/>
      <c r="L20" s="343"/>
      <c r="AU20" s="15"/>
    </row>
    <row r="21" spans="4:48" ht="14.45" customHeight="1">
      <c r="AU21" s="15"/>
    </row>
    <row r="22" spans="4:48" ht="14.45" customHeight="1">
      <c r="W22" s="292"/>
      <c r="AD22" s="292"/>
      <c r="AU22" s="15"/>
    </row>
    <row r="23" spans="4:48" ht="14.45" customHeight="1">
      <c r="J23" s="35"/>
      <c r="K23" s="36" t="str">
        <f>Verzie!E74&amp;" "&amp;Verzie!E75</f>
        <v>spodní profil pod dnem</v>
      </c>
      <c r="L23" s="36"/>
      <c r="W23" s="36" t="str">
        <f>Verzie!E74&amp;" "&amp;Verzie!E76</f>
        <v>spodní profil na dně</v>
      </c>
      <c r="X23" s="36"/>
      <c r="AD23" s="292"/>
      <c r="AJ23" s="36" t="str">
        <f>Verzie!E77</f>
        <v>bez spodního profilu</v>
      </c>
      <c r="AL23" s="36"/>
      <c r="AU23" s="15" t="s">
        <v>4</v>
      </c>
    </row>
    <row r="24" spans="4:48" ht="14.45" customHeight="1">
      <c r="K24" s="294" t="str">
        <f>Verzie!E78</f>
        <v>standardní řešení</v>
      </c>
      <c r="AU24" s="15"/>
    </row>
    <row r="25" spans="4:48" ht="14.45" customHeight="1">
      <c r="AU25" s="15" t="s">
        <v>5</v>
      </c>
    </row>
    <row r="26" spans="4:48" ht="14.45" customHeight="1">
      <c r="P26" s="35"/>
      <c r="V26" s="35"/>
      <c r="AA26" s="35"/>
      <c r="AB26" s="35"/>
      <c r="AJ26" s="35"/>
      <c r="AL26" s="35"/>
      <c r="AM26" s="35"/>
      <c r="AU26" s="15">
        <f>IF(D20="",0,IF(D20&lt;&gt;"",10,1))</f>
        <v>0</v>
      </c>
    </row>
    <row r="27" spans="4:48" ht="7.9" customHeight="1">
      <c r="P27" s="35"/>
      <c r="AA27" s="35"/>
      <c r="AB27" s="35"/>
      <c r="AL27" s="35"/>
      <c r="AU27" s="15" t="s">
        <v>6</v>
      </c>
    </row>
    <row r="28" spans="4:48" ht="14.45" customHeight="1">
      <c r="P28" s="37"/>
      <c r="S28" s="36"/>
      <c r="V28" s="287"/>
      <c r="W28" s="36"/>
      <c r="AA28" s="36"/>
      <c r="AD28" s="36"/>
      <c r="AU28" s="15">
        <f>IF(AU24+AU26=0,0,IF(AU24+AU26=20,99,10))</f>
        <v>0</v>
      </c>
    </row>
    <row r="29" spans="4:48" ht="7.9" customHeight="1">
      <c r="AU29" s="15" t="str">
        <f>Verzie!E60</f>
        <v>OK - všechna potřebná pole jsou vyplněná</v>
      </c>
    </row>
    <row r="30" spans="4:48" ht="7.9" customHeight="1">
      <c r="AU30" s="15"/>
    </row>
    <row r="31" spans="4:48" ht="14.45" customHeight="1">
      <c r="F31" s="36"/>
      <c r="N31" s="36"/>
      <c r="P31" s="37"/>
      <c r="S31" s="36"/>
      <c r="V31" s="36"/>
      <c r="AG31" s="36"/>
      <c r="AP31" s="36"/>
      <c r="AU31" s="15"/>
    </row>
    <row r="32" spans="4:48" ht="14.45" customHeight="1">
      <c r="AU32" s="15" t="str">
        <f>Verzie!E75</f>
        <v>pod dnem</v>
      </c>
      <c r="AV32" s="298" t="str">
        <f>IF(D20=AU33,"OTOC","")</f>
        <v/>
      </c>
    </row>
    <row r="33" spans="1:48" ht="14.45" customHeight="1">
      <c r="AU33" s="15" t="str">
        <f>Verzie!E76</f>
        <v>na dně</v>
      </c>
    </row>
    <row r="34" spans="1:48" ht="14.45" customHeight="1">
      <c r="AU34" s="15" t="str">
        <f>IF('DATA-WL1'!G29&lt;=1700,Verzie!E77,"")</f>
        <v>bez spodního profilu</v>
      </c>
    </row>
    <row r="35" spans="1:48" ht="14.45" customHeight="1">
      <c r="AU35" s="15"/>
    </row>
    <row r="36" spans="1:48" ht="14.45" customHeight="1">
      <c r="AU36" s="15" t="str">
        <f>Verzie!E30</f>
        <v>Vybrané</v>
      </c>
    </row>
    <row r="37" spans="1:48" ht="14.45" customHeight="1">
      <c r="J37" s="286"/>
      <c r="K37" s="316" t="str">
        <f>IF(D20=AU32,Verzie!E30,"")</f>
        <v/>
      </c>
      <c r="W37" s="316" t="str">
        <f>IF(D20=AU33,Verzie!E30,"")</f>
        <v/>
      </c>
      <c r="AJ37" s="316" t="str">
        <f>IF(AND(D20=AU34,AU34&lt;&gt;""),Verzie!E30,"")</f>
        <v/>
      </c>
      <c r="AU37" s="15"/>
    </row>
    <row r="38" spans="1:48" ht="14.45" customHeight="1">
      <c r="AU38" s="15"/>
      <c r="AV38" s="41"/>
    </row>
    <row r="39" spans="1:48" ht="14.45" customHeight="1">
      <c r="G39" s="288"/>
      <c r="H39" s="288"/>
      <c r="I39" s="288"/>
      <c r="K39" s="295" t="str">
        <f>Verzie!E78</f>
        <v>standardní řešení</v>
      </c>
      <c r="S39" s="356" t="str">
        <f>Verzie!E79</f>
        <v>v tomto případě se kvůli spodnímu vozíku objednává opačná sada (pravá vers.levá) a horní vozík se správné otočí</v>
      </c>
      <c r="T39" s="356"/>
      <c r="U39" s="356"/>
      <c r="V39" s="356"/>
      <c r="W39" s="356"/>
      <c r="X39" s="356"/>
      <c r="Y39" s="356"/>
      <c r="Z39" s="356"/>
      <c r="AA39" s="356"/>
      <c r="AF39" s="356" t="str">
        <f>Verzie!E80</f>
        <v>řešení bez spodního profilu ve spojení s Push to move NEDOPORUČUJEME!</v>
      </c>
      <c r="AG39" s="356"/>
      <c r="AH39" s="356"/>
      <c r="AI39" s="356"/>
      <c r="AJ39" s="356"/>
      <c r="AK39" s="356"/>
      <c r="AL39" s="356"/>
      <c r="AM39" s="356"/>
      <c r="AN39" s="356"/>
      <c r="AP39" s="286"/>
      <c r="AU39" s="15"/>
      <c r="AV39" s="41"/>
    </row>
    <row r="40" spans="1:48" ht="14.45" customHeight="1">
      <c r="S40" s="356"/>
      <c r="T40" s="356"/>
      <c r="U40" s="356"/>
      <c r="V40" s="356"/>
      <c r="W40" s="356"/>
      <c r="X40" s="356"/>
      <c r="Y40" s="356"/>
      <c r="Z40" s="356"/>
      <c r="AA40" s="356"/>
      <c r="AF40" s="356"/>
      <c r="AG40" s="356"/>
      <c r="AH40" s="356"/>
      <c r="AI40" s="356"/>
      <c r="AJ40" s="356"/>
      <c r="AK40" s="356"/>
      <c r="AL40" s="356"/>
      <c r="AM40" s="356"/>
      <c r="AN40" s="356"/>
      <c r="AU40" s="15"/>
    </row>
    <row r="41" spans="1:48" ht="14.45" customHeight="1">
      <c r="S41" s="356"/>
      <c r="T41" s="356"/>
      <c r="U41" s="356"/>
      <c r="V41" s="356"/>
      <c r="W41" s="356"/>
      <c r="X41" s="356"/>
      <c r="Y41" s="356"/>
      <c r="Z41" s="356"/>
      <c r="AA41" s="356"/>
      <c r="AF41" s="356"/>
      <c r="AG41" s="356"/>
      <c r="AH41" s="356"/>
      <c r="AI41" s="356"/>
      <c r="AJ41" s="356"/>
      <c r="AK41" s="356"/>
      <c r="AL41" s="356"/>
      <c r="AM41" s="356"/>
      <c r="AN41" s="356"/>
      <c r="AU41" s="15"/>
    </row>
    <row r="42" spans="1:48" ht="14.45" customHeight="1">
      <c r="S42" s="356"/>
      <c r="T42" s="356"/>
      <c r="U42" s="356"/>
      <c r="V42" s="356"/>
      <c r="W42" s="356"/>
      <c r="X42" s="356"/>
      <c r="Y42" s="356"/>
      <c r="Z42" s="356"/>
      <c r="AA42" s="356"/>
      <c r="AF42" s="356"/>
      <c r="AG42" s="356"/>
      <c r="AH42" s="356"/>
      <c r="AI42" s="356"/>
      <c r="AJ42" s="356"/>
      <c r="AK42" s="356"/>
      <c r="AL42" s="356"/>
      <c r="AM42" s="356"/>
      <c r="AN42" s="356"/>
      <c r="AU42" s="15"/>
    </row>
    <row r="43" spans="1:48" ht="14.45" customHeight="1">
      <c r="I43" s="35"/>
      <c r="N43" s="32"/>
      <c r="O43" s="349" t="str">
        <f>IF(AU28=0,"",IF(AU28=10,Verzie!E60))</f>
        <v/>
      </c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U43" s="15"/>
    </row>
    <row r="44" spans="1:48" ht="14.45" customHeight="1">
      <c r="E44" s="35"/>
      <c r="J44" s="32"/>
      <c r="P44" s="35"/>
      <c r="AA44" s="35"/>
      <c r="AU44" s="15"/>
    </row>
    <row r="45" spans="1:48" ht="14.45" customHeight="1">
      <c r="AU45" s="15"/>
    </row>
    <row r="46" spans="1:48" ht="23.1" customHeight="1">
      <c r="A46" s="12"/>
      <c r="B46" s="14" t="str">
        <f>Verzie!E18</f>
        <v>WingLine L - konfigurátor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34" t="str">
        <f>AR4</f>
        <v>WING LINE L</v>
      </c>
      <c r="AS46" s="12"/>
      <c r="AU46" s="15"/>
    </row>
    <row r="47" spans="1:48" ht="14.45" customHeight="1" thickBot="1">
      <c r="AU47" s="15"/>
    </row>
    <row r="48" spans="1:48" ht="23.1" customHeight="1" thickBot="1">
      <c r="U48" s="325" t="str">
        <f>Verzie!E14</f>
        <v>nahoru</v>
      </c>
      <c r="V48" s="326"/>
      <c r="W48" s="326"/>
      <c r="X48" s="326"/>
      <c r="Y48" s="327"/>
      <c r="AU48" s="15"/>
    </row>
    <row r="49" spans="47:47" ht="14.45" customHeight="1">
      <c r="AU49" s="15"/>
    </row>
    <row r="50" spans="47:47" ht="14.45" customHeight="1">
      <c r="AU50" s="15"/>
    </row>
    <row r="51" spans="47:47" ht="14.45" customHeight="1">
      <c r="AU51" s="15"/>
    </row>
    <row r="52" spans="47:47" ht="14.45" customHeight="1">
      <c r="AU52" s="15"/>
    </row>
    <row r="53" spans="47:47" ht="14.45" customHeight="1"/>
    <row r="54" spans="47:47" ht="14.45" customHeight="1"/>
    <row r="55" spans="47:47" ht="14.45" customHeight="1"/>
    <row r="56" spans="47:47" ht="14.45" customHeight="1"/>
    <row r="57" spans="47:47" ht="14.45" customHeight="1"/>
    <row r="58" spans="47:47" ht="14.45" customHeight="1"/>
  </sheetData>
  <sheetProtection algorithmName="SHA-512" hashValue="qQb3C6zbD351UrImQ8rlX5MvXJuM7JnFR3PuYQ2iDuMK/wT5MnPvNAJ0eSAVj7boSG0ruUa/qvBaLj84HJPG2Q==" saltValue="inluPPAZWW2kVVlHhCUcsA==" spinCount="100000" sheet="1" objects="1" scenarios="1"/>
  <mergeCells count="15">
    <mergeCell ref="O43:AF43"/>
    <mergeCell ref="U48:Y48"/>
    <mergeCell ref="AO2:AR2"/>
    <mergeCell ref="K8:AB9"/>
    <mergeCell ref="K10:AB12"/>
    <mergeCell ref="K13:AB13"/>
    <mergeCell ref="G2:K2"/>
    <mergeCell ref="O2:S2"/>
    <mergeCell ref="U2:Y2"/>
    <mergeCell ref="AA2:AE2"/>
    <mergeCell ref="AI2:AM2"/>
    <mergeCell ref="D20:L20"/>
    <mergeCell ref="S39:AA42"/>
    <mergeCell ref="AF39:AN42"/>
    <mergeCell ref="B2:E2"/>
  </mergeCells>
  <conditionalFormatting sqref="K13:AB13 O43:AF43">
    <cfRule type="cellIs" dxfId="8" priority="8" stopIfTrue="1" operator="equal">
      <formula>$AU$29</formula>
    </cfRule>
  </conditionalFormatting>
  <conditionalFormatting sqref="K13:AB13 O43:AF43">
    <cfRule type="expression" dxfId="7" priority="9" stopIfTrue="1">
      <formula>$AU$28=10</formula>
    </cfRule>
  </conditionalFormatting>
  <conditionalFormatting sqref="D20">
    <cfRule type="expression" dxfId="6" priority="7" stopIfTrue="1">
      <formula>#REF!=0</formula>
    </cfRule>
  </conditionalFormatting>
  <conditionalFormatting sqref="AL23">
    <cfRule type="expression" dxfId="5" priority="6">
      <formula>$AV$39=1</formula>
    </cfRule>
  </conditionalFormatting>
  <conditionalFormatting sqref="K23:L23">
    <cfRule type="expression" dxfId="4" priority="5">
      <formula>$AV$38=1</formula>
    </cfRule>
  </conditionalFormatting>
  <conditionalFormatting sqref="W23:X23">
    <cfRule type="expression" dxfId="3" priority="4">
      <formula>$AV$38=1</formula>
    </cfRule>
  </conditionalFormatting>
  <conditionalFormatting sqref="AJ23">
    <cfRule type="expression" dxfId="2" priority="3">
      <formula>$AV$39=1</formula>
    </cfRule>
  </conditionalFormatting>
  <conditionalFormatting sqref="K24">
    <cfRule type="expression" dxfId="1" priority="2">
      <formula>$AV$38=1</formula>
    </cfRule>
  </conditionalFormatting>
  <conditionalFormatting sqref="K39">
    <cfRule type="expression" dxfId="0" priority="1">
      <formula>$AV$38=1</formula>
    </cfRule>
  </conditionalFormatting>
  <dataValidations count="1">
    <dataValidation type="list" allowBlank="1" showInputMessage="1" showErrorMessage="1" sqref="D20" xr:uid="{76CCEC40-7A2D-48F6-934D-DD837E1BF0A3}">
      <formula1>$AU$31:$AU$34</formula1>
    </dataValidation>
  </dataValidations>
  <hyperlinks>
    <hyperlink ref="M4" location="MENU!A1" display="MENU!A1" xr:uid="{A818A566-F4E8-4978-9029-9BEB5A873BC5}"/>
    <hyperlink ref="G2:K2" location="'FORM-I'!A1" display="'FORM-I'!A1" xr:uid="{12C5EC3D-9451-4EF2-A5D9-6DA66664603F}"/>
    <hyperlink ref="B2:E2" location="'DATA-WL4'!A5" display="'DATA-WL4'!A5" xr:uid="{0E91EF7E-827E-40DD-ADEC-9471AA3145A3}"/>
    <hyperlink ref="AO2:AR2" location="'OBJ-WLL'!A5" display="'OBJ-WLL'!A5" xr:uid="{CA9EA0BB-9C44-406A-A979-634C8C46A701}"/>
    <hyperlink ref="M46" location="MENU!A1" display="MENU!A1" xr:uid="{E168B5C9-B8CB-436B-BD37-4979405ACA9B}"/>
    <hyperlink ref="U48:Y48" location="'DATA-WL5'!A5" display="'DATA-WL5'!A5" xr:uid="{BCE821FA-0499-44CE-A6B1-A6763EC359D9}"/>
    <hyperlink ref="AI2:AM2" location="'OBJ-WLL'!A5" display="'OBJ-WLL'!A5" xr:uid="{5CB43428-4BF0-4EB5-80C1-23A63308C3E2}"/>
  </hyperlink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C9DD-BEDB-4337-8021-5A6B89353565}">
  <sheetPr codeName="List1">
    <tabColor rgb="FFFF0000"/>
  </sheetPr>
  <dimension ref="B4:L95"/>
  <sheetViews>
    <sheetView showGridLines="0" showRowColHeaders="0" workbookViewId="0"/>
  </sheetViews>
  <sheetFormatPr defaultColWidth="8.875" defaultRowHeight="13.9"/>
  <cols>
    <col min="1" max="1" width="3.75" style="5" customWidth="1"/>
    <col min="2" max="2" width="6" style="5" customWidth="1"/>
    <col min="3" max="6" width="15.5" style="5" customWidth="1"/>
    <col min="7" max="7" width="9.125" style="5" bestFit="1" customWidth="1"/>
    <col min="8" max="12" width="8.875" style="5"/>
    <col min="13" max="13" width="19.25" style="5" customWidth="1"/>
    <col min="14" max="14" width="10.5" style="5" bestFit="1" customWidth="1"/>
    <col min="15" max="15" width="10.5" style="5" customWidth="1"/>
    <col min="16" max="16" width="9.5" style="5" bestFit="1" customWidth="1"/>
    <col min="17" max="16384" width="8.875" style="5"/>
  </cols>
  <sheetData>
    <row r="4" spans="2:12">
      <c r="B4" s="310">
        <f>1</f>
        <v>1</v>
      </c>
      <c r="C4" s="5" t="e">
        <f>SEARCH("-",$J$94,1)</f>
        <v>#VALUE!</v>
      </c>
      <c r="D4" s="311" t="e">
        <f>VALUE(MID($J$94,1,C4-1))</f>
        <v>#VALUE!</v>
      </c>
      <c r="G4" s="312">
        <f>Ceny!B11</f>
        <v>9339352</v>
      </c>
      <c r="H4" s="5" t="e">
        <f>VLOOKUP(G4,Ceny!$B$11:$O$125,14,FALSE)</f>
        <v>#VALUE!</v>
      </c>
      <c r="J4" s="16" t="e">
        <f>IF(H4&lt;&gt;"",G4,"")</f>
        <v>#VALUE!</v>
      </c>
      <c r="L4" s="359" t="s">
        <v>23</v>
      </c>
    </row>
    <row r="5" spans="2:12">
      <c r="B5" s="310">
        <f>B4+1</f>
        <v>2</v>
      </c>
      <c r="C5" s="5" t="e">
        <f t="shared" ref="C5:C23" si="0">SEARCH("-",$J$94,C4+1)</f>
        <v>#VALUE!</v>
      </c>
      <c r="D5" s="311" t="e">
        <f t="shared" ref="D5:D23" si="1">VALUE(MID($J$94,C4+1,C5-C4-1))</f>
        <v>#VALUE!</v>
      </c>
      <c r="G5" s="312">
        <f>Ceny!B12</f>
        <v>9339354</v>
      </c>
      <c r="H5" s="5" t="e">
        <f>VLOOKUP(G5,Ceny!$B$11:$O$125,14,FALSE)</f>
        <v>#VALUE!</v>
      </c>
      <c r="J5" s="16" t="e">
        <f>IF(AND(H5&lt;&gt;"",J4=""),G5,IF(H5&lt;&gt;"",J4&amp;"-"&amp;G5,J4))</f>
        <v>#VALUE!</v>
      </c>
      <c r="L5" s="359"/>
    </row>
    <row r="6" spans="2:12">
      <c r="B6" s="310">
        <f t="shared" ref="B6:B23" si="2">B5+1</f>
        <v>3</v>
      </c>
      <c r="C6" s="5" t="e">
        <f t="shared" si="0"/>
        <v>#VALUE!</v>
      </c>
      <c r="D6" s="311" t="e">
        <f t="shared" si="1"/>
        <v>#VALUE!</v>
      </c>
      <c r="G6" s="312">
        <f>Ceny!B13</f>
        <v>9339356</v>
      </c>
      <c r="H6" s="5" t="e">
        <f>VLOOKUP(G6,Ceny!$B$11:$O$125,14,FALSE)</f>
        <v>#VALUE!</v>
      </c>
      <c r="J6" s="16" t="e">
        <f t="shared" ref="J6:J39" si="3">IF(AND(H6&lt;&gt;"",J5=""),G6,IF(H6&lt;&gt;"",J5&amp;"-"&amp;G6,J5))</f>
        <v>#VALUE!</v>
      </c>
      <c r="L6" s="359"/>
    </row>
    <row r="7" spans="2:12">
      <c r="B7" s="310">
        <f t="shared" si="2"/>
        <v>4</v>
      </c>
      <c r="C7" s="5" t="e">
        <f t="shared" si="0"/>
        <v>#VALUE!</v>
      </c>
      <c r="D7" s="311" t="e">
        <f t="shared" si="1"/>
        <v>#VALUE!</v>
      </c>
      <c r="G7" s="312">
        <f>Ceny!B14</f>
        <v>9339357</v>
      </c>
      <c r="H7" s="5" t="e">
        <f>VLOOKUP(G7,Ceny!$B$11:$O$125,14,FALSE)</f>
        <v>#VALUE!</v>
      </c>
      <c r="J7" s="16" t="e">
        <f t="shared" si="3"/>
        <v>#VALUE!</v>
      </c>
      <c r="L7" s="359"/>
    </row>
    <row r="8" spans="2:12">
      <c r="B8" s="310">
        <f t="shared" si="2"/>
        <v>5</v>
      </c>
      <c r="C8" s="5" t="e">
        <f t="shared" si="0"/>
        <v>#VALUE!</v>
      </c>
      <c r="D8" s="311" t="e">
        <f t="shared" si="1"/>
        <v>#VALUE!</v>
      </c>
      <c r="G8" s="312">
        <f>Ceny!B15</f>
        <v>9339363</v>
      </c>
      <c r="H8" s="5" t="e">
        <f>VLOOKUP(G8,Ceny!$B$11:$O$125,14,FALSE)</f>
        <v>#VALUE!</v>
      </c>
      <c r="J8" s="16" t="e">
        <f t="shared" si="3"/>
        <v>#VALUE!</v>
      </c>
      <c r="L8" s="359"/>
    </row>
    <row r="9" spans="2:12">
      <c r="B9" s="310">
        <f t="shared" si="2"/>
        <v>6</v>
      </c>
      <c r="C9" s="5" t="e">
        <f t="shared" si="0"/>
        <v>#VALUE!</v>
      </c>
      <c r="D9" s="311" t="e">
        <f t="shared" si="1"/>
        <v>#VALUE!</v>
      </c>
      <c r="G9" s="312">
        <f>Ceny!B16</f>
        <v>9339364</v>
      </c>
      <c r="H9" s="5" t="e">
        <f>VLOOKUP(G9,Ceny!$B$11:$O$125,14,FALSE)</f>
        <v>#VALUE!</v>
      </c>
      <c r="J9" s="16" t="e">
        <f t="shared" si="3"/>
        <v>#VALUE!</v>
      </c>
      <c r="L9" s="359"/>
    </row>
    <row r="10" spans="2:12">
      <c r="B10" s="310">
        <f t="shared" si="2"/>
        <v>7</v>
      </c>
      <c r="C10" s="5" t="e">
        <f t="shared" si="0"/>
        <v>#VALUE!</v>
      </c>
      <c r="D10" s="311" t="e">
        <f t="shared" si="1"/>
        <v>#VALUE!</v>
      </c>
      <c r="G10" s="312">
        <f>Ceny!B17</f>
        <v>9339344</v>
      </c>
      <c r="H10" s="5" t="e">
        <f>VLOOKUP(G10,Ceny!$B$11:$O$125,14,FALSE)</f>
        <v>#VALUE!</v>
      </c>
      <c r="J10" s="16" t="e">
        <f t="shared" si="3"/>
        <v>#VALUE!</v>
      </c>
      <c r="L10" s="359"/>
    </row>
    <row r="11" spans="2:12">
      <c r="B11" s="310">
        <f t="shared" si="2"/>
        <v>8</v>
      </c>
      <c r="C11" s="5" t="e">
        <f t="shared" si="0"/>
        <v>#VALUE!</v>
      </c>
      <c r="D11" s="311" t="e">
        <f t="shared" si="1"/>
        <v>#VALUE!</v>
      </c>
      <c r="G11" s="312">
        <f>Ceny!B18</f>
        <v>9339346</v>
      </c>
      <c r="H11" s="5" t="e">
        <f>VLOOKUP(G11,Ceny!$B$11:$O$125,14,FALSE)</f>
        <v>#VALUE!</v>
      </c>
      <c r="J11" s="16" t="e">
        <f t="shared" si="3"/>
        <v>#VALUE!</v>
      </c>
      <c r="L11" s="359"/>
    </row>
    <row r="12" spans="2:12">
      <c r="B12" s="310">
        <f t="shared" si="2"/>
        <v>9</v>
      </c>
      <c r="C12" s="5" t="e">
        <f t="shared" si="0"/>
        <v>#VALUE!</v>
      </c>
      <c r="D12" s="311" t="e">
        <f t="shared" si="1"/>
        <v>#VALUE!</v>
      </c>
      <c r="G12" s="312">
        <f>Ceny!B19</f>
        <v>9339347</v>
      </c>
      <c r="H12" s="5" t="e">
        <f>VLOOKUP(G12,Ceny!$B$11:$O$125,14,FALSE)</f>
        <v>#VALUE!</v>
      </c>
      <c r="J12" s="16" t="e">
        <f t="shared" si="3"/>
        <v>#VALUE!</v>
      </c>
      <c r="L12" s="359"/>
    </row>
    <row r="13" spans="2:12">
      <c r="B13" s="310">
        <f t="shared" si="2"/>
        <v>10</v>
      </c>
      <c r="C13" s="5" t="e">
        <f t="shared" si="0"/>
        <v>#VALUE!</v>
      </c>
      <c r="D13" s="311" t="e">
        <f t="shared" si="1"/>
        <v>#VALUE!</v>
      </c>
      <c r="G13" s="312">
        <f>Ceny!B20</f>
        <v>9339348</v>
      </c>
      <c r="H13" s="5" t="e">
        <f>VLOOKUP(G13,Ceny!$B$11:$O$125,14,FALSE)</f>
        <v>#VALUE!</v>
      </c>
      <c r="J13" s="16" t="e">
        <f t="shared" si="3"/>
        <v>#VALUE!</v>
      </c>
      <c r="L13" s="359"/>
    </row>
    <row r="14" spans="2:12">
      <c r="B14" s="310">
        <f t="shared" si="2"/>
        <v>11</v>
      </c>
      <c r="C14" s="5" t="e">
        <f t="shared" si="0"/>
        <v>#VALUE!</v>
      </c>
      <c r="D14" s="311" t="e">
        <f t="shared" si="1"/>
        <v>#VALUE!</v>
      </c>
      <c r="G14" s="312">
        <f>Ceny!B21</f>
        <v>9339349</v>
      </c>
      <c r="H14" s="5" t="e">
        <f>VLOOKUP(G14,Ceny!$B$11:$O$125,14,FALSE)</f>
        <v>#VALUE!</v>
      </c>
      <c r="J14" s="16" t="e">
        <f t="shared" si="3"/>
        <v>#VALUE!</v>
      </c>
      <c r="L14" s="359"/>
    </row>
    <row r="15" spans="2:12">
      <c r="B15" s="310">
        <f t="shared" si="2"/>
        <v>12</v>
      </c>
      <c r="C15" s="5" t="e">
        <f t="shared" si="0"/>
        <v>#VALUE!</v>
      </c>
      <c r="D15" s="311" t="e">
        <f t="shared" si="1"/>
        <v>#VALUE!</v>
      </c>
      <c r="G15" s="312">
        <f>Ceny!B22</f>
        <v>9339350</v>
      </c>
      <c r="H15" s="5" t="e">
        <f>VLOOKUP(G15,Ceny!$B$11:$O$125,14,FALSE)</f>
        <v>#VALUE!</v>
      </c>
      <c r="J15" s="16" t="e">
        <f t="shared" si="3"/>
        <v>#VALUE!</v>
      </c>
      <c r="L15" s="359"/>
    </row>
    <row r="16" spans="2:12">
      <c r="B16" s="310">
        <f t="shared" si="2"/>
        <v>13</v>
      </c>
      <c r="C16" s="5" t="e">
        <f t="shared" si="0"/>
        <v>#VALUE!</v>
      </c>
      <c r="D16" s="311" t="e">
        <f t="shared" si="1"/>
        <v>#VALUE!</v>
      </c>
      <c r="G16" s="312">
        <f>Ceny!B23</f>
        <v>9339382</v>
      </c>
      <c r="H16" s="5" t="e">
        <f>VLOOKUP(G16,Ceny!$B$11:$O$125,14,FALSE)</f>
        <v>#VALUE!</v>
      </c>
      <c r="J16" s="16" t="e">
        <f t="shared" si="3"/>
        <v>#VALUE!</v>
      </c>
      <c r="L16" s="359"/>
    </row>
    <row r="17" spans="2:12">
      <c r="B17" s="310">
        <f t="shared" si="2"/>
        <v>14</v>
      </c>
      <c r="C17" s="5" t="e">
        <f t="shared" si="0"/>
        <v>#VALUE!</v>
      </c>
      <c r="D17" s="311" t="e">
        <f t="shared" si="1"/>
        <v>#VALUE!</v>
      </c>
      <c r="G17" s="312">
        <f>Ceny!B24</f>
        <v>9339383</v>
      </c>
      <c r="H17" s="5" t="e">
        <f>VLOOKUP(G17,Ceny!$B$11:$O$125,14,FALSE)</f>
        <v>#VALUE!</v>
      </c>
      <c r="J17" s="16" t="e">
        <f t="shared" si="3"/>
        <v>#VALUE!</v>
      </c>
      <c r="L17" s="359"/>
    </row>
    <row r="18" spans="2:12">
      <c r="B18" s="310">
        <f t="shared" si="2"/>
        <v>15</v>
      </c>
      <c r="C18" s="5" t="e">
        <f t="shared" si="0"/>
        <v>#VALUE!</v>
      </c>
      <c r="D18" s="311" t="e">
        <f t="shared" si="1"/>
        <v>#VALUE!</v>
      </c>
      <c r="G18" s="312">
        <f>Ceny!B25</f>
        <v>9339384</v>
      </c>
      <c r="H18" s="5" t="e">
        <f>VLOOKUP(G18,Ceny!$B$11:$O$125,14,FALSE)</f>
        <v>#VALUE!</v>
      </c>
      <c r="J18" s="16" t="e">
        <f t="shared" si="3"/>
        <v>#VALUE!</v>
      </c>
      <c r="L18" s="359"/>
    </row>
    <row r="19" spans="2:12">
      <c r="B19" s="310">
        <f t="shared" si="2"/>
        <v>16</v>
      </c>
      <c r="C19" s="5" t="e">
        <f t="shared" si="0"/>
        <v>#VALUE!</v>
      </c>
      <c r="D19" s="311" t="e">
        <f t="shared" si="1"/>
        <v>#VALUE!</v>
      </c>
      <c r="G19" s="312">
        <f>Ceny!B26</f>
        <v>9339386</v>
      </c>
      <c r="H19" s="5" t="e">
        <f>VLOOKUP(G19,Ceny!$B$11:$O$125,14,FALSE)</f>
        <v>#VALUE!</v>
      </c>
      <c r="J19" s="16" t="e">
        <f t="shared" si="3"/>
        <v>#VALUE!</v>
      </c>
      <c r="L19" s="359"/>
    </row>
    <row r="20" spans="2:12">
      <c r="B20" s="310">
        <f t="shared" si="2"/>
        <v>17</v>
      </c>
      <c r="C20" s="5" t="e">
        <f t="shared" si="0"/>
        <v>#VALUE!</v>
      </c>
      <c r="D20" s="311" t="e">
        <f t="shared" si="1"/>
        <v>#VALUE!</v>
      </c>
      <c r="G20" s="312">
        <f>Ceny!B27</f>
        <v>9339387</v>
      </c>
      <c r="H20" s="5" t="e">
        <f>VLOOKUP(G20,Ceny!$B$11:$O$125,14,FALSE)</f>
        <v>#VALUE!</v>
      </c>
      <c r="J20" s="16" t="e">
        <f t="shared" si="3"/>
        <v>#VALUE!</v>
      </c>
      <c r="L20" s="359"/>
    </row>
    <row r="21" spans="2:12">
      <c r="B21" s="310">
        <f t="shared" si="2"/>
        <v>18</v>
      </c>
      <c r="C21" s="5" t="e">
        <f t="shared" si="0"/>
        <v>#VALUE!</v>
      </c>
      <c r="D21" s="311" t="e">
        <f t="shared" si="1"/>
        <v>#VALUE!</v>
      </c>
      <c r="G21" s="312">
        <f>Ceny!B28</f>
        <v>9339388</v>
      </c>
      <c r="H21" s="5" t="e">
        <f>VLOOKUP(G21,Ceny!$B$11:$O$125,14,FALSE)</f>
        <v>#VALUE!</v>
      </c>
      <c r="J21" s="16" t="e">
        <f t="shared" si="3"/>
        <v>#VALUE!</v>
      </c>
      <c r="L21" s="359"/>
    </row>
    <row r="22" spans="2:12">
      <c r="B22" s="310">
        <f t="shared" si="2"/>
        <v>19</v>
      </c>
      <c r="C22" s="5" t="e">
        <f t="shared" si="0"/>
        <v>#VALUE!</v>
      </c>
      <c r="D22" s="311" t="e">
        <f t="shared" si="1"/>
        <v>#VALUE!</v>
      </c>
      <c r="G22" s="312">
        <f>Ceny!B29</f>
        <v>9339366</v>
      </c>
      <c r="H22" s="5" t="e">
        <f>VLOOKUP(G22,Ceny!$B$11:$O$125,14,FALSE)</f>
        <v>#VALUE!</v>
      </c>
      <c r="J22" s="16" t="e">
        <f t="shared" si="3"/>
        <v>#VALUE!</v>
      </c>
      <c r="L22" s="359"/>
    </row>
    <row r="23" spans="2:12">
      <c r="B23" s="310">
        <f t="shared" si="2"/>
        <v>20</v>
      </c>
      <c r="C23" s="5" t="e">
        <f t="shared" si="0"/>
        <v>#VALUE!</v>
      </c>
      <c r="D23" s="311" t="e">
        <f t="shared" si="1"/>
        <v>#VALUE!</v>
      </c>
      <c r="G23" s="312">
        <f>Ceny!B30</f>
        <v>9339367</v>
      </c>
      <c r="H23" s="5" t="e">
        <f>VLOOKUP(G23,Ceny!$B$11:$O$125,14,FALSE)</f>
        <v>#VALUE!</v>
      </c>
      <c r="J23" s="16" t="e">
        <f t="shared" si="3"/>
        <v>#VALUE!</v>
      </c>
      <c r="L23" s="359"/>
    </row>
    <row r="24" spans="2:12">
      <c r="G24" s="312">
        <f>Ceny!B31</f>
        <v>9339368</v>
      </c>
      <c r="H24" s="5" t="e">
        <f>VLOOKUP(G24,Ceny!$B$11:$O$125,14,FALSE)</f>
        <v>#VALUE!</v>
      </c>
      <c r="J24" s="16" t="e">
        <f t="shared" si="3"/>
        <v>#VALUE!</v>
      </c>
      <c r="L24" s="359"/>
    </row>
    <row r="25" spans="2:12">
      <c r="G25" s="312">
        <f>Ceny!B32</f>
        <v>9339369</v>
      </c>
      <c r="H25" s="5" t="e">
        <f>VLOOKUP(G25,Ceny!$B$11:$O$125,14,FALSE)</f>
        <v>#VALUE!</v>
      </c>
      <c r="J25" s="16" t="e">
        <f t="shared" si="3"/>
        <v>#VALUE!</v>
      </c>
      <c r="L25" s="359"/>
    </row>
    <row r="26" spans="2:12">
      <c r="G26" s="312">
        <f>Ceny!B33</f>
        <v>9339370</v>
      </c>
      <c r="H26" s="5" t="e">
        <f>VLOOKUP(G26,Ceny!$B$11:$O$125,14,FALSE)</f>
        <v>#VALUE!</v>
      </c>
      <c r="J26" s="16" t="e">
        <f t="shared" si="3"/>
        <v>#VALUE!</v>
      </c>
      <c r="L26" s="359"/>
    </row>
    <row r="27" spans="2:12">
      <c r="G27" s="312">
        <f>Ceny!B34</f>
        <v>9339381</v>
      </c>
      <c r="H27" s="5" t="e">
        <f>VLOOKUP(G27,Ceny!$B$11:$O$125,14,FALSE)</f>
        <v>#VALUE!</v>
      </c>
      <c r="J27" s="16" t="e">
        <f t="shared" si="3"/>
        <v>#VALUE!</v>
      </c>
      <c r="L27" s="359"/>
    </row>
    <row r="28" spans="2:12">
      <c r="G28" s="312">
        <f>Ceny!B35</f>
        <v>9339477</v>
      </c>
      <c r="H28" s="5" t="str">
        <f>VLOOKUP(G28,Ceny!$B$11:$O$125,14,FALSE)</f>
        <v/>
      </c>
      <c r="J28" s="16" t="e">
        <f t="shared" si="3"/>
        <v>#VALUE!</v>
      </c>
      <c r="L28" s="359"/>
    </row>
    <row r="29" spans="2:12">
      <c r="G29" s="312">
        <f>Ceny!B36</f>
        <v>9339478</v>
      </c>
      <c r="H29" s="5" t="str">
        <f>VLOOKUP(G29,Ceny!$B$11:$O$125,14,FALSE)</f>
        <v/>
      </c>
      <c r="J29" s="16" t="e">
        <f t="shared" si="3"/>
        <v>#VALUE!</v>
      </c>
      <c r="L29" s="359"/>
    </row>
    <row r="30" spans="2:12">
      <c r="G30" s="312">
        <f>Ceny!B37</f>
        <v>9339479</v>
      </c>
      <c r="H30" s="5" t="str">
        <f>VLOOKUP(G30,Ceny!$B$11:$O$125,14,FALSE)</f>
        <v/>
      </c>
      <c r="J30" s="16" t="e">
        <f t="shared" si="3"/>
        <v>#VALUE!</v>
      </c>
      <c r="L30" s="359"/>
    </row>
    <row r="31" spans="2:12">
      <c r="G31" s="312">
        <f>Ceny!B38</f>
        <v>9339481</v>
      </c>
      <c r="H31" s="5" t="str">
        <f>VLOOKUP(G31,Ceny!$B$11:$O$125,14,FALSE)</f>
        <v/>
      </c>
      <c r="J31" s="16" t="e">
        <f t="shared" si="3"/>
        <v>#VALUE!</v>
      </c>
      <c r="L31" s="359"/>
    </row>
    <row r="32" spans="2:12">
      <c r="G32" s="312">
        <f>Ceny!B39</f>
        <v>9339482</v>
      </c>
      <c r="H32" s="5" t="str">
        <f>VLOOKUP(G32,Ceny!$B$11:$O$125,14,FALSE)</f>
        <v/>
      </c>
      <c r="J32" s="16" t="e">
        <f t="shared" si="3"/>
        <v>#VALUE!</v>
      </c>
      <c r="L32" s="359"/>
    </row>
    <row r="33" spans="7:12">
      <c r="G33" s="312">
        <f>Ceny!B40</f>
        <v>9339483</v>
      </c>
      <c r="H33" s="5" t="str">
        <f>VLOOKUP(G33,Ceny!$B$11:$O$125,14,FALSE)</f>
        <v/>
      </c>
      <c r="J33" s="16" t="e">
        <f t="shared" si="3"/>
        <v>#VALUE!</v>
      </c>
      <c r="L33" s="359"/>
    </row>
    <row r="34" spans="7:12">
      <c r="G34" s="312">
        <f>Ceny!B41</f>
        <v>9339389</v>
      </c>
      <c r="H34" s="5" t="str">
        <f>VLOOKUP(G34,Ceny!$B$11:$O$125,14,FALSE)</f>
        <v/>
      </c>
      <c r="J34" s="16" t="e">
        <f t="shared" si="3"/>
        <v>#VALUE!</v>
      </c>
      <c r="L34" s="359"/>
    </row>
    <row r="35" spans="7:12">
      <c r="G35" s="312">
        <f>Ceny!B42</f>
        <v>9339390</v>
      </c>
      <c r="H35" s="5" t="str">
        <f>VLOOKUP(G35,Ceny!$B$11:$O$125,14,FALSE)</f>
        <v/>
      </c>
      <c r="J35" s="16" t="e">
        <f t="shared" si="3"/>
        <v>#VALUE!</v>
      </c>
      <c r="L35" s="359"/>
    </row>
    <row r="36" spans="7:12">
      <c r="G36" s="312">
        <f>Ceny!B43</f>
        <v>9339391</v>
      </c>
      <c r="H36" s="5" t="str">
        <f>VLOOKUP(G36,Ceny!$B$11:$O$125,14,FALSE)</f>
        <v/>
      </c>
      <c r="J36" s="16" t="e">
        <f t="shared" si="3"/>
        <v>#VALUE!</v>
      </c>
      <c r="L36" s="359"/>
    </row>
    <row r="37" spans="7:12">
      <c r="G37" s="312">
        <f>Ceny!B44</f>
        <v>9339392</v>
      </c>
      <c r="H37" s="5" t="str">
        <f>VLOOKUP(G37,Ceny!$B$11:$O$125,14,FALSE)</f>
        <v/>
      </c>
      <c r="J37" s="16" t="e">
        <f t="shared" si="3"/>
        <v>#VALUE!</v>
      </c>
      <c r="L37" s="359"/>
    </row>
    <row r="38" spans="7:12">
      <c r="G38" s="312">
        <f>Ceny!B45</f>
        <v>9339393</v>
      </c>
      <c r="H38" s="5" t="str">
        <f>VLOOKUP(G38,Ceny!$B$11:$O$125,14,FALSE)</f>
        <v/>
      </c>
      <c r="J38" s="16" t="e">
        <f t="shared" si="3"/>
        <v>#VALUE!</v>
      </c>
      <c r="L38" s="359"/>
    </row>
    <row r="39" spans="7:12">
      <c r="G39" s="312">
        <f>Ceny!B46</f>
        <v>9339394</v>
      </c>
      <c r="H39" s="5" t="str">
        <f>VLOOKUP(G39,Ceny!$B$11:$O$125,14,FALSE)</f>
        <v/>
      </c>
      <c r="J39" s="16" t="e">
        <f t="shared" si="3"/>
        <v>#VALUE!</v>
      </c>
      <c r="L39" s="359"/>
    </row>
    <row r="40" spans="7:12">
      <c r="G40" s="312">
        <f>Ceny!B48</f>
        <v>9339500</v>
      </c>
      <c r="H40" s="5" t="str">
        <f>VLOOKUP(G40,Ceny!$B$11:$O$125,14,FALSE)</f>
        <v/>
      </c>
      <c r="J40" s="16" t="e">
        <f t="shared" ref="J40:J69" si="4">IF(H40&lt;&gt;"",J39&amp;"-"&amp;G40,J39)</f>
        <v>#VALUE!</v>
      </c>
    </row>
    <row r="41" spans="7:12">
      <c r="G41" s="312">
        <f>Ceny!B49</f>
        <v>9279168</v>
      </c>
      <c r="H41" s="5" t="str">
        <f>VLOOKUP(G41,Ceny!$B$11:$O$125,14,FALSE)</f>
        <v/>
      </c>
      <c r="J41" s="16" t="e">
        <f t="shared" si="4"/>
        <v>#VALUE!</v>
      </c>
    </row>
    <row r="42" spans="7:12">
      <c r="G42" s="312">
        <f>Ceny!B50</f>
        <v>9339502</v>
      </c>
      <c r="H42" s="5" t="str">
        <f>VLOOKUP(G42,Ceny!$B$11:$O$125,14,FALSE)</f>
        <v/>
      </c>
      <c r="J42" s="16" t="e">
        <f t="shared" si="4"/>
        <v>#VALUE!</v>
      </c>
    </row>
    <row r="43" spans="7:12">
      <c r="G43" s="312">
        <f>Ceny!B51</f>
        <v>9339503</v>
      </c>
      <c r="H43" s="5" t="str">
        <f>VLOOKUP(G43,Ceny!$B$11:$O$125,14,FALSE)</f>
        <v/>
      </c>
      <c r="J43" s="16" t="e">
        <f t="shared" si="4"/>
        <v>#VALUE!</v>
      </c>
    </row>
    <row r="44" spans="7:12">
      <c r="G44" s="312">
        <f>Ceny!B52</f>
        <v>9279169</v>
      </c>
      <c r="H44" s="5" t="str">
        <f>VLOOKUP(G44,Ceny!$B$11:$O$125,14,FALSE)</f>
        <v/>
      </c>
      <c r="J44" s="16" t="e">
        <f t="shared" si="4"/>
        <v>#VALUE!</v>
      </c>
    </row>
    <row r="45" spans="7:12">
      <c r="G45" s="312">
        <f>Ceny!B53</f>
        <v>9339505</v>
      </c>
      <c r="H45" s="5" t="str">
        <f>VLOOKUP(G45,Ceny!$B$11:$O$125,14,FALSE)</f>
        <v/>
      </c>
      <c r="J45" s="16" t="e">
        <f t="shared" si="4"/>
        <v>#VALUE!</v>
      </c>
    </row>
    <row r="46" spans="7:12">
      <c r="G46" s="312">
        <f>Ceny!B54</f>
        <v>9339507</v>
      </c>
      <c r="H46" s="5" t="str">
        <f>VLOOKUP(G46,Ceny!$B$11:$O$125,14,FALSE)</f>
        <v/>
      </c>
      <c r="J46" s="16" t="e">
        <f t="shared" si="4"/>
        <v>#VALUE!</v>
      </c>
    </row>
    <row r="47" spans="7:12">
      <c r="G47" s="312">
        <f>Ceny!B55</f>
        <v>9279166</v>
      </c>
      <c r="H47" s="5" t="str">
        <f>VLOOKUP(G47,Ceny!$B$11:$O$125,14,FALSE)</f>
        <v/>
      </c>
      <c r="J47" s="16" t="e">
        <f t="shared" si="4"/>
        <v>#VALUE!</v>
      </c>
    </row>
    <row r="48" spans="7:12">
      <c r="G48" s="312">
        <f>Ceny!B56</f>
        <v>9339509</v>
      </c>
      <c r="H48" s="5" t="str">
        <f>VLOOKUP(G48,Ceny!$B$11:$O$125,14,FALSE)</f>
        <v/>
      </c>
      <c r="J48" s="16" t="e">
        <f t="shared" si="4"/>
        <v>#VALUE!</v>
      </c>
    </row>
    <row r="49" spans="7:10">
      <c r="G49" s="312">
        <f>Ceny!B57</f>
        <v>9339510</v>
      </c>
      <c r="H49" s="5" t="str">
        <f>VLOOKUP(G49,Ceny!$B$11:$O$125,14,FALSE)</f>
        <v/>
      </c>
      <c r="J49" s="16" t="e">
        <f t="shared" si="4"/>
        <v>#VALUE!</v>
      </c>
    </row>
    <row r="50" spans="7:10">
      <c r="G50" s="312">
        <f>Ceny!B58</f>
        <v>9279170</v>
      </c>
      <c r="H50" s="5" t="str">
        <f>VLOOKUP(G50,Ceny!$B$11:$O$125,14,FALSE)</f>
        <v/>
      </c>
      <c r="J50" s="16" t="e">
        <f t="shared" si="4"/>
        <v>#VALUE!</v>
      </c>
    </row>
    <row r="51" spans="7:10">
      <c r="G51" s="312">
        <f>Ceny!B59</f>
        <v>9339512</v>
      </c>
      <c r="H51" s="5" t="str">
        <f>VLOOKUP(G51,Ceny!$B$11:$O$125,14,FALSE)</f>
        <v/>
      </c>
      <c r="J51" s="16" t="e">
        <f t="shared" si="4"/>
        <v>#VALUE!</v>
      </c>
    </row>
    <row r="52" spans="7:10">
      <c r="G52" s="312">
        <f>Ceny!B61</f>
        <v>9278694</v>
      </c>
      <c r="H52" s="5" t="str">
        <f>VLOOKUP(G52,Ceny!$B$11:$O$125,14,FALSE)</f>
        <v/>
      </c>
      <c r="J52" s="16" t="e">
        <f t="shared" si="4"/>
        <v>#VALUE!</v>
      </c>
    </row>
    <row r="53" spans="7:10">
      <c r="G53" s="312">
        <f>Ceny!B62</f>
        <v>9278788</v>
      </c>
      <c r="H53" s="5" t="str">
        <f>VLOOKUP(G53,Ceny!$B$11:$O$125,14,FALSE)</f>
        <v/>
      </c>
      <c r="J53" s="16" t="e">
        <f t="shared" si="4"/>
        <v>#VALUE!</v>
      </c>
    </row>
    <row r="54" spans="7:10">
      <c r="G54" s="312">
        <f>Ceny!B63</f>
        <v>9278742</v>
      </c>
      <c r="H54" s="5" t="str">
        <f>VLOOKUP(G54,Ceny!$B$11:$O$125,14,FALSE)</f>
        <v/>
      </c>
      <c r="J54" s="16" t="e">
        <f t="shared" si="4"/>
        <v>#VALUE!</v>
      </c>
    </row>
    <row r="55" spans="7:10">
      <c r="G55" s="312">
        <f>Ceny!B64</f>
        <v>9278787</v>
      </c>
      <c r="H55" s="5" t="str">
        <f>VLOOKUP(G55,Ceny!$B$11:$O$125,14,FALSE)</f>
        <v/>
      </c>
      <c r="J55" s="16" t="e">
        <f t="shared" si="4"/>
        <v>#VALUE!</v>
      </c>
    </row>
    <row r="56" spans="7:10">
      <c r="G56" s="312">
        <f>Ceny!B65</f>
        <v>9339492</v>
      </c>
      <c r="H56" s="5" t="str">
        <f>VLOOKUP(G56,Ceny!$B$11:$O$125,14,FALSE)</f>
        <v/>
      </c>
      <c r="J56" s="16" t="e">
        <f t="shared" si="4"/>
        <v>#VALUE!</v>
      </c>
    </row>
    <row r="57" spans="7:10">
      <c r="G57" s="312">
        <f>Ceny!B66</f>
        <v>9339493</v>
      </c>
      <c r="H57" s="5" t="str">
        <f>VLOOKUP(G57,Ceny!$B$11:$O$125,14,FALSE)</f>
        <v/>
      </c>
      <c r="J57" s="16" t="e">
        <f t="shared" si="4"/>
        <v>#VALUE!</v>
      </c>
    </row>
    <row r="58" spans="7:10">
      <c r="G58" s="312">
        <f>Ceny!B67</f>
        <v>9339494</v>
      </c>
      <c r="H58" s="5" t="str">
        <f>VLOOKUP(G58,Ceny!$B$11:$O$125,14,FALSE)</f>
        <v/>
      </c>
      <c r="J58" s="16" t="e">
        <f t="shared" si="4"/>
        <v>#VALUE!</v>
      </c>
    </row>
    <row r="59" spans="7:10">
      <c r="G59" s="312">
        <f>Ceny!B68</f>
        <v>9339496</v>
      </c>
      <c r="H59" s="5" t="str">
        <f>VLOOKUP(G59,Ceny!$B$11:$O$125,14,FALSE)</f>
        <v/>
      </c>
      <c r="J59" s="16" t="e">
        <f t="shared" si="4"/>
        <v>#VALUE!</v>
      </c>
    </row>
    <row r="60" spans="7:10">
      <c r="G60" s="312">
        <f>Ceny!B69</f>
        <v>9339498</v>
      </c>
      <c r="H60" s="5" t="str">
        <f>VLOOKUP(G60,Ceny!$B$11:$O$125,14,FALSE)</f>
        <v/>
      </c>
      <c r="J60" s="16" t="e">
        <f t="shared" si="4"/>
        <v>#VALUE!</v>
      </c>
    </row>
    <row r="61" spans="7:10">
      <c r="G61" s="312">
        <f>Ceny!B70</f>
        <v>9339499</v>
      </c>
      <c r="H61" s="5" t="str">
        <f>VLOOKUP(G61,Ceny!$B$11:$O$125,14,FALSE)</f>
        <v/>
      </c>
      <c r="J61" s="16" t="e">
        <f t="shared" si="4"/>
        <v>#VALUE!</v>
      </c>
    </row>
    <row r="62" spans="7:10">
      <c r="G62" s="312">
        <f>Ceny!B71</f>
        <v>9339480</v>
      </c>
      <c r="H62" s="5" t="str">
        <f>VLOOKUP(G62,Ceny!$B$11:$O$125,14,FALSE)</f>
        <v/>
      </c>
      <c r="J62" s="16" t="e">
        <f t="shared" si="4"/>
        <v>#VALUE!</v>
      </c>
    </row>
    <row r="63" spans="7:10">
      <c r="G63" s="312">
        <f>Ceny!B72</f>
        <v>9339484</v>
      </c>
      <c r="H63" s="5" t="str">
        <f>VLOOKUP(G63,Ceny!$B$11:$O$125,14,FALSE)</f>
        <v/>
      </c>
      <c r="J63" s="16" t="e">
        <f t="shared" si="4"/>
        <v>#VALUE!</v>
      </c>
    </row>
    <row r="64" spans="7:10">
      <c r="G64" s="312">
        <f>Ceny!B73</f>
        <v>9339485</v>
      </c>
      <c r="H64" s="5" t="str">
        <f>VLOOKUP(G64,Ceny!$B$11:$O$125,14,FALSE)</f>
        <v/>
      </c>
      <c r="J64" s="16" t="e">
        <f t="shared" si="4"/>
        <v>#VALUE!</v>
      </c>
    </row>
    <row r="65" spans="7:10">
      <c r="G65" s="312">
        <f>Ceny!B74</f>
        <v>9339486</v>
      </c>
      <c r="H65" s="5" t="str">
        <f>VLOOKUP(G65,Ceny!$B$11:$O$125,14,FALSE)</f>
        <v/>
      </c>
      <c r="J65" s="16" t="e">
        <f t="shared" si="4"/>
        <v>#VALUE!</v>
      </c>
    </row>
    <row r="66" spans="7:10">
      <c r="G66" s="312">
        <f>Ceny!B75</f>
        <v>9339487</v>
      </c>
      <c r="H66" s="5" t="str">
        <f>VLOOKUP(G66,Ceny!$B$11:$O$125,14,FALSE)</f>
        <v/>
      </c>
      <c r="J66" s="16" t="e">
        <f t="shared" si="4"/>
        <v>#VALUE!</v>
      </c>
    </row>
    <row r="67" spans="7:10">
      <c r="G67" s="312">
        <f>Ceny!B76</f>
        <v>9339491</v>
      </c>
      <c r="H67" s="5" t="str">
        <f>VLOOKUP(G67,Ceny!$B$11:$O$125,14,FALSE)</f>
        <v/>
      </c>
      <c r="J67" s="16" t="e">
        <f t="shared" si="4"/>
        <v>#VALUE!</v>
      </c>
    </row>
    <row r="68" spans="7:10">
      <c r="G68" s="312">
        <f>Ceny!B78</f>
        <v>9339585</v>
      </c>
      <c r="H68" s="5" t="str">
        <f>VLOOKUP(G68,Ceny!$B$11:$O$125,14,FALSE)</f>
        <v/>
      </c>
      <c r="J68" s="16" t="e">
        <f t="shared" si="4"/>
        <v>#VALUE!</v>
      </c>
    </row>
    <row r="69" spans="7:10">
      <c r="G69" s="312">
        <f>Ceny!B79</f>
        <v>9339586</v>
      </c>
      <c r="H69" s="5" t="str">
        <f>VLOOKUP(G69,Ceny!$B$11:$O$125,14,FALSE)</f>
        <v/>
      </c>
      <c r="J69" s="16" t="e">
        <f t="shared" si="4"/>
        <v>#VALUE!</v>
      </c>
    </row>
    <row r="70" spans="7:10">
      <c r="G70" s="312">
        <f>Ceny!B80</f>
        <v>9339587</v>
      </c>
      <c r="H70" s="5" t="str">
        <f>VLOOKUP(G70,Ceny!$B$11:$O$125,14,FALSE)</f>
        <v/>
      </c>
      <c r="J70" s="16" t="e">
        <f t="shared" ref="J70:J94" si="5">IF(H70&lt;&gt;"",J69&amp;"-"&amp;G70,J69)</f>
        <v>#VALUE!</v>
      </c>
    </row>
    <row r="71" spans="7:10">
      <c r="G71" s="312">
        <f>Ceny!B81</f>
        <v>9339523</v>
      </c>
      <c r="H71" s="5" t="str">
        <f>VLOOKUP(G71,Ceny!$B$11:$O$125,14,FALSE)</f>
        <v/>
      </c>
      <c r="J71" s="16" t="e">
        <f t="shared" si="5"/>
        <v>#VALUE!</v>
      </c>
    </row>
    <row r="72" spans="7:10">
      <c r="G72" s="312">
        <f>Ceny!B82</f>
        <v>9339583</v>
      </c>
      <c r="H72" s="5" t="str">
        <f>VLOOKUP(G72,Ceny!$B$11:$O$125,14,FALSE)</f>
        <v/>
      </c>
      <c r="J72" s="16" t="e">
        <f t="shared" si="5"/>
        <v>#VALUE!</v>
      </c>
    </row>
    <row r="73" spans="7:10">
      <c r="G73" s="312">
        <f>Ceny!B83</f>
        <v>9339584</v>
      </c>
      <c r="H73" s="5" t="str">
        <f>VLOOKUP(G73,Ceny!$B$11:$O$125,14,FALSE)</f>
        <v/>
      </c>
      <c r="J73" s="16" t="e">
        <f t="shared" si="5"/>
        <v>#VALUE!</v>
      </c>
    </row>
    <row r="74" spans="7:10">
      <c r="G74" s="312">
        <f>Ceny!B84</f>
        <v>9339520</v>
      </c>
      <c r="H74" s="5" t="str">
        <f>VLOOKUP(G74,Ceny!$B$11:$O$125,14,FALSE)</f>
        <v/>
      </c>
      <c r="J74" s="16" t="e">
        <f t="shared" si="5"/>
        <v>#VALUE!</v>
      </c>
    </row>
    <row r="75" spans="7:10">
      <c r="G75" s="312">
        <f>Ceny!B85</f>
        <v>9339521</v>
      </c>
      <c r="H75" s="5" t="str">
        <f>VLOOKUP(G75,Ceny!$B$11:$O$125,14,FALSE)</f>
        <v/>
      </c>
      <c r="J75" s="16" t="e">
        <f t="shared" si="5"/>
        <v>#VALUE!</v>
      </c>
    </row>
    <row r="76" spans="7:10">
      <c r="G76" s="312">
        <f>Ceny!B86</f>
        <v>9339522</v>
      </c>
      <c r="H76" s="5" t="str">
        <f>VLOOKUP(G76,Ceny!$B$11:$O$125,14,FALSE)</f>
        <v/>
      </c>
      <c r="J76" s="16" t="e">
        <f t="shared" si="5"/>
        <v>#VALUE!</v>
      </c>
    </row>
    <row r="77" spans="7:10">
      <c r="G77" s="312">
        <f>Ceny!B87</f>
        <v>9339516</v>
      </c>
      <c r="H77" s="5" t="str">
        <f>VLOOKUP(G77,Ceny!$B$11:$O$125,14,FALSE)</f>
        <v/>
      </c>
      <c r="J77" s="16" t="e">
        <f t="shared" si="5"/>
        <v>#VALUE!</v>
      </c>
    </row>
    <row r="78" spans="7:10">
      <c r="G78" s="312">
        <f>Ceny!B88</f>
        <v>9339517</v>
      </c>
      <c r="H78" s="5" t="str">
        <f>VLOOKUP(G78,Ceny!$B$11:$O$125,14,FALSE)</f>
        <v/>
      </c>
      <c r="J78" s="16" t="e">
        <f t="shared" si="5"/>
        <v>#VALUE!</v>
      </c>
    </row>
    <row r="79" spans="7:10">
      <c r="G79" s="312">
        <f>Ceny!B89</f>
        <v>9339518</v>
      </c>
      <c r="H79" s="5" t="str">
        <f>VLOOKUP(G79,Ceny!$B$11:$O$125,14,FALSE)</f>
        <v/>
      </c>
      <c r="J79" s="16" t="e">
        <f t="shared" si="5"/>
        <v>#VALUE!</v>
      </c>
    </row>
    <row r="80" spans="7:10">
      <c r="G80" s="312">
        <f>Ceny!B91</f>
        <v>9282527</v>
      </c>
      <c r="H80" s="5" t="str">
        <f>VLOOKUP(G80,Ceny!$B$11:$O$125,14,FALSE)</f>
        <v/>
      </c>
      <c r="J80" s="16" t="e">
        <f t="shared" si="5"/>
        <v>#VALUE!</v>
      </c>
    </row>
    <row r="81" spans="6:10">
      <c r="G81" s="312">
        <f>Ceny!B92</f>
        <v>9282600</v>
      </c>
      <c r="H81" s="5" t="str">
        <f>VLOOKUP(G81,Ceny!$B$11:$O$125,14,FALSE)</f>
        <v/>
      </c>
      <c r="J81" s="16" t="e">
        <f t="shared" si="5"/>
        <v>#VALUE!</v>
      </c>
    </row>
    <row r="82" spans="6:10">
      <c r="G82" s="312">
        <f>Ceny!B93</f>
        <v>9282601</v>
      </c>
      <c r="H82" s="5" t="str">
        <f>VLOOKUP(G82,Ceny!$B$11:$O$125,14,FALSE)</f>
        <v/>
      </c>
      <c r="J82" s="16" t="e">
        <f t="shared" si="5"/>
        <v>#VALUE!</v>
      </c>
    </row>
    <row r="83" spans="6:10">
      <c r="G83" s="312">
        <f>Ceny!B94</f>
        <v>9282900</v>
      </c>
      <c r="H83" s="5" t="str">
        <f>VLOOKUP(G83,Ceny!$B$11:$O$125,14,FALSE)</f>
        <v/>
      </c>
      <c r="J83" s="16" t="e">
        <f t="shared" si="5"/>
        <v>#VALUE!</v>
      </c>
    </row>
    <row r="84" spans="6:10">
      <c r="G84" s="312">
        <f>Ceny!B95</f>
        <v>9282901</v>
      </c>
      <c r="H84" s="5" t="str">
        <f>VLOOKUP(G84,Ceny!$B$11:$O$125,14,FALSE)</f>
        <v/>
      </c>
      <c r="J84" s="16" t="e">
        <f t="shared" si="5"/>
        <v>#VALUE!</v>
      </c>
    </row>
    <row r="85" spans="6:10">
      <c r="G85" s="312">
        <f>Ceny!B96</f>
        <v>9282902</v>
      </c>
      <c r="H85" s="5" t="str">
        <f>VLOOKUP(G85,Ceny!$B$11:$O$125,14,FALSE)</f>
        <v/>
      </c>
      <c r="J85" s="16" t="e">
        <f t="shared" si="5"/>
        <v>#VALUE!</v>
      </c>
    </row>
    <row r="86" spans="6:10">
      <c r="G86" s="312">
        <f>Ceny!B97</f>
        <v>9266219</v>
      </c>
      <c r="H86" s="5" t="str">
        <f>VLOOKUP(G86,Ceny!$B$11:$O$125,14,FALSE)</f>
        <v/>
      </c>
      <c r="J86" s="16" t="e">
        <f t="shared" si="5"/>
        <v>#VALUE!</v>
      </c>
    </row>
    <row r="87" spans="6:10">
      <c r="G87" s="312">
        <f>Ceny!B98</f>
        <v>9266244</v>
      </c>
      <c r="H87" s="5" t="str">
        <f>VLOOKUP(G87,Ceny!$B$11:$O$125,14,FALSE)</f>
        <v/>
      </c>
      <c r="J87" s="16" t="e">
        <f t="shared" si="5"/>
        <v>#VALUE!</v>
      </c>
    </row>
    <row r="88" spans="6:10">
      <c r="G88" s="312">
        <f>Ceny!B99</f>
        <v>9266243</v>
      </c>
      <c r="H88" s="5" t="str">
        <f>VLOOKUP(G88,Ceny!$B$11:$O$125,14,FALSE)</f>
        <v/>
      </c>
      <c r="J88" s="16" t="e">
        <f t="shared" si="5"/>
        <v>#VALUE!</v>
      </c>
    </row>
    <row r="89" spans="6:10">
      <c r="G89" s="312">
        <f>Ceny!B101</f>
        <v>9073605</v>
      </c>
      <c r="H89" s="5" t="str">
        <f>VLOOKUP(G89,Ceny!$B$11:$O$125,14,FALSE)</f>
        <v/>
      </c>
      <c r="J89" s="16" t="e">
        <f t="shared" si="5"/>
        <v>#VALUE!</v>
      </c>
    </row>
    <row r="90" spans="6:10">
      <c r="G90" s="312">
        <f>Ceny!B102</f>
        <v>9073606</v>
      </c>
      <c r="H90" s="5" t="str">
        <f>VLOOKUP(G90,Ceny!$B$11:$O$125,14,FALSE)</f>
        <v/>
      </c>
      <c r="J90" s="16" t="e">
        <f t="shared" si="5"/>
        <v>#VALUE!</v>
      </c>
    </row>
    <row r="91" spans="6:10">
      <c r="G91" s="312">
        <f>Ceny!B103</f>
        <v>9073662</v>
      </c>
      <c r="H91" s="5" t="str">
        <f>VLOOKUP(G91,Ceny!$B$11:$O$125,14,FALSE)</f>
        <v/>
      </c>
      <c r="J91" s="16" t="e">
        <f t="shared" si="5"/>
        <v>#VALUE!</v>
      </c>
    </row>
    <row r="92" spans="6:10">
      <c r="G92" s="312">
        <f>Ceny!B104</f>
        <v>9073663</v>
      </c>
      <c r="H92" s="5" t="str">
        <f>VLOOKUP(G92,Ceny!$B$11:$O$125,14,FALSE)</f>
        <v/>
      </c>
      <c r="J92" s="16" t="e">
        <f t="shared" si="5"/>
        <v>#VALUE!</v>
      </c>
    </row>
    <row r="93" spans="6:10">
      <c r="G93" s="312">
        <f>Ceny!B105</f>
        <v>9071666</v>
      </c>
      <c r="H93" s="5">
        <f>VLOOKUP(G93,Ceny!$B$11:$O$125,14,FALSE)</f>
        <v>0</v>
      </c>
      <c r="J93" s="16" t="e">
        <f t="shared" si="5"/>
        <v>#VALUE!</v>
      </c>
    </row>
    <row r="94" spans="6:10">
      <c r="F94" s="5" t="s">
        <v>24</v>
      </c>
      <c r="G94" s="5">
        <v>999999</v>
      </c>
      <c r="H94" s="5">
        <v>1</v>
      </c>
      <c r="J94" s="16" t="e">
        <f t="shared" si="5"/>
        <v>#VALUE!</v>
      </c>
    </row>
    <row r="95" spans="6:10">
      <c r="G95" s="312"/>
    </row>
  </sheetData>
  <sheetProtection algorithmName="SHA-512" hashValue="qqoK8VPucGrSUmMr4kv58IyKwaKvspA8IbEH9U1jMSBk5iRoDT1IIe65jKJ8T4ZxQRhuy1d0wjbjj+oBzstDnQ==" saltValue="fb08NDEclEmmXL6qp0Q3qA==" spinCount="100000" sheet="1" objects="1" scenarios="1"/>
  <sortState xmlns:xlrd2="http://schemas.microsoft.com/office/spreadsheetml/2017/richdata2" ref="Q31:R40">
    <sortCondition ref="Q31:Q40"/>
  </sortState>
  <mergeCells count="1">
    <mergeCell ref="L4:L39"/>
  </mergeCells>
  <pageMargins left="0.7" right="0.7" top="0.78740157499999996" bottom="0.78740157499999996" header="0.3" footer="0.3"/>
  <ignoredErrors>
    <ignoredError sqref="C16:C23 D17:D2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5939-3BD1-4223-B0D1-D1F1C1A6DD8C}">
  <sheetPr codeName="List43">
    <tabColor rgb="FFFF0000"/>
    <pageSetUpPr fitToPage="1"/>
  </sheetPr>
  <dimension ref="A1:V74"/>
  <sheetViews>
    <sheetView showGridLines="0" showRowColHeaders="0" zoomScaleNormal="100" workbookViewId="0">
      <pane ySplit="4" topLeftCell="A17" activePane="bottomLeft" state="frozen"/>
      <selection pane="bottomLeft" activeCell="D2" sqref="D2:F2"/>
    </sheetView>
  </sheetViews>
  <sheetFormatPr defaultColWidth="9" defaultRowHeight="13.9"/>
  <cols>
    <col min="1" max="1" width="1.625" style="217" customWidth="1"/>
    <col min="2" max="2" width="11.75" style="217" customWidth="1"/>
    <col min="3" max="3" width="38.75" style="217" customWidth="1"/>
    <col min="4" max="4" width="5.125" style="217" customWidth="1"/>
    <col min="5" max="5" width="2.625" style="217" customWidth="1"/>
    <col min="6" max="6" width="4.625" style="217" customWidth="1"/>
    <col min="7" max="7" width="8.375" style="217" customWidth="1"/>
    <col min="8" max="8" width="4.125" style="217" bestFit="1" customWidth="1"/>
    <col min="9" max="9" width="9" style="217"/>
    <col min="10" max="10" width="4.375" style="217" bestFit="1" customWidth="1"/>
    <col min="11" max="11" width="9" style="217"/>
    <col min="12" max="12" width="8.875" style="217" customWidth="1"/>
    <col min="13" max="13" width="1.625" style="217" customWidth="1"/>
    <col min="14" max="14" width="9" style="217" hidden="1" customWidth="1"/>
    <col min="15" max="15" width="3" style="217" hidden="1" customWidth="1"/>
    <col min="16" max="16" width="3.125" style="217" hidden="1" customWidth="1"/>
    <col min="17" max="17" width="10.625" style="217" customWidth="1"/>
    <col min="18" max="16384" width="9" style="217"/>
  </cols>
  <sheetData>
    <row r="1" spans="1:22" ht="12.95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20"/>
      <c r="O1" s="221"/>
      <c r="P1" s="221"/>
    </row>
    <row r="2" spans="1:22" s="11" customFormat="1" ht="23.1" customHeight="1" thickBot="1">
      <c r="B2" s="306" t="str">
        <f>Verzie!E12</f>
        <v>&lt;&lt;  zpět</v>
      </c>
      <c r="D2" s="325" t="str">
        <f>Verzie!E5</f>
        <v xml:space="preserve"> Úvod</v>
      </c>
      <c r="E2" s="326"/>
      <c r="F2" s="326"/>
      <c r="G2" s="8"/>
      <c r="H2" s="8"/>
      <c r="J2" s="8"/>
      <c r="K2" s="362" t="str">
        <f>Verzie!E13</f>
        <v>vpřed  &gt;&gt;</v>
      </c>
      <c r="L2" s="363"/>
      <c r="M2" s="8"/>
      <c r="N2" s="8"/>
      <c r="O2" s="217"/>
      <c r="P2" s="217"/>
      <c r="Q2" s="217"/>
      <c r="R2" s="217"/>
      <c r="S2" s="217"/>
      <c r="T2" s="217"/>
      <c r="U2" s="217"/>
      <c r="V2" s="217"/>
    </row>
    <row r="3" spans="1:22" ht="12.9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2" ht="20.45" customHeight="1">
      <c r="A4" s="12"/>
      <c r="B4" s="14" t="str">
        <f>Verzie!E18</f>
        <v>WingLine L - konfigurátor</v>
      </c>
      <c r="C4" s="12"/>
      <c r="D4" s="12"/>
      <c r="E4" s="12"/>
      <c r="F4" s="12"/>
      <c r="G4" s="12"/>
      <c r="H4" s="12"/>
      <c r="I4" s="12"/>
      <c r="J4" s="12"/>
      <c r="K4" s="12"/>
      <c r="L4" s="34" t="s">
        <v>3</v>
      </c>
      <c r="M4" s="12"/>
    </row>
    <row r="5" spans="1:22" ht="15" customHeight="1">
      <c r="A5" s="8"/>
      <c r="B5" s="218" t="str">
        <f>Verzie!E116</f>
        <v>Odběratel</v>
      </c>
      <c r="C5" s="219"/>
      <c r="D5" s="219"/>
      <c r="E5" s="219"/>
      <c r="F5" s="219"/>
      <c r="G5" s="219"/>
      <c r="H5" s="219"/>
      <c r="I5" s="219"/>
      <c r="J5" s="219"/>
      <c r="K5" s="219"/>
      <c r="L5" s="8"/>
      <c r="M5" s="8"/>
      <c r="N5" s="220"/>
      <c r="O5" s="221"/>
      <c r="P5" s="221"/>
    </row>
    <row r="6" spans="1:22" ht="15" customHeight="1">
      <c r="A6" s="8"/>
      <c r="B6" s="222" t="str">
        <f>Verzie!E118&amp;" :"</f>
        <v>Fakturační adresa :</v>
      </c>
      <c r="C6" s="219"/>
      <c r="D6" s="219"/>
      <c r="E6" s="219"/>
      <c r="F6" s="222" t="str">
        <f>Verzie!E119&amp;" :"</f>
        <v>Dodací adresa :</v>
      </c>
      <c r="G6" s="219"/>
      <c r="H6" s="219"/>
      <c r="I6" s="219"/>
      <c r="J6" s="219"/>
      <c r="K6" s="219"/>
      <c r="L6" s="8"/>
      <c r="M6" s="8"/>
      <c r="N6" s="8"/>
    </row>
    <row r="7" spans="1:22" ht="6.75" customHeight="1" thickBot="1">
      <c r="A7" s="8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8"/>
      <c r="M7" s="8"/>
      <c r="N7" s="8"/>
    </row>
    <row r="8" spans="1:22" ht="15" customHeight="1">
      <c r="A8" s="8"/>
      <c r="B8" s="223" t="str">
        <f>IF(NAPOVEDA!B9="","",NAPOVEDA!B9)</f>
        <v/>
      </c>
      <c r="C8" s="224"/>
      <c r="D8" s="219"/>
      <c r="E8" s="219"/>
      <c r="F8" s="225"/>
      <c r="G8" s="226"/>
      <c r="H8" s="226"/>
      <c r="I8" s="226"/>
      <c r="J8" s="226"/>
      <c r="K8" s="227"/>
      <c r="L8" s="8"/>
      <c r="M8" s="8"/>
      <c r="N8" s="8"/>
    </row>
    <row r="9" spans="1:22" ht="15" customHeight="1">
      <c r="A9" s="8"/>
      <c r="B9" s="228" t="str">
        <f>IF(NAPOVEDA!B11="","",NAPOVEDA!B11)</f>
        <v/>
      </c>
      <c r="C9" s="229"/>
      <c r="D9" s="219"/>
      <c r="E9" s="219"/>
      <c r="F9" s="230" t="str">
        <f>IF(NAPOVEDA!B15="","",NAPOVEDA!B15)</f>
        <v/>
      </c>
      <c r="G9" s="219"/>
      <c r="H9" s="219"/>
      <c r="I9" s="219"/>
      <c r="J9" s="219"/>
      <c r="K9" s="231"/>
      <c r="L9" s="8"/>
      <c r="M9" s="8"/>
      <c r="N9" s="8"/>
    </row>
    <row r="10" spans="1:22" ht="15" customHeight="1">
      <c r="A10" s="8"/>
      <c r="B10" s="228" t="str">
        <f>IF(NAPOVEDA!B12="","",NAPOVEDA!B12)</f>
        <v/>
      </c>
      <c r="C10" s="229"/>
      <c r="D10" s="219"/>
      <c r="E10" s="219"/>
      <c r="F10" s="230" t="str">
        <f>IF(NAPOVEDA!B16="","",NAPOVEDA!B16)</f>
        <v/>
      </c>
      <c r="G10" s="219"/>
      <c r="H10" s="219"/>
      <c r="I10" s="219"/>
      <c r="J10" s="219"/>
      <c r="K10" s="231"/>
      <c r="L10" s="8"/>
      <c r="M10" s="8"/>
      <c r="N10" s="8"/>
    </row>
    <row r="11" spans="1:22" ht="15" customHeight="1" thickBot="1">
      <c r="A11" s="8"/>
      <c r="B11" s="232" t="str">
        <f>IF(NAPOVEDA!B13="","",NAPOVEDA!B13)</f>
        <v/>
      </c>
      <c r="C11" s="233"/>
      <c r="D11" s="219"/>
      <c r="E11" s="219"/>
      <c r="F11" s="234" t="str">
        <f>IF(NAPOVEDA!B17="","",NAPOVEDA!B17)</f>
        <v/>
      </c>
      <c r="G11" s="235"/>
      <c r="H11" s="235"/>
      <c r="I11" s="235"/>
      <c r="J11" s="235"/>
      <c r="K11" s="236"/>
      <c r="L11" s="8"/>
      <c r="M11" s="8"/>
      <c r="N11" s="8"/>
    </row>
    <row r="12" spans="1:22" ht="8.1" customHeight="1">
      <c r="A12" s="8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8"/>
      <c r="M12" s="8"/>
      <c r="N12" s="8"/>
    </row>
    <row r="13" spans="1:22" ht="15" customHeight="1">
      <c r="A13" s="8"/>
      <c r="B13" s="237" t="str">
        <f>Verzie!E120&amp;" :"&amp;NAPOVEDA!B19</f>
        <v>IČO :</v>
      </c>
      <c r="C13" s="227"/>
      <c r="D13" s="219"/>
      <c r="E13" s="219"/>
      <c r="F13" s="219"/>
      <c r="G13" s="219"/>
      <c r="H13" s="219"/>
      <c r="I13" s="219"/>
      <c r="J13" s="219"/>
      <c r="K13" s="219"/>
      <c r="L13" s="8"/>
      <c r="M13" s="8"/>
      <c r="N13" s="8"/>
    </row>
    <row r="14" spans="1:22" ht="15" customHeight="1">
      <c r="A14" s="8"/>
      <c r="B14" s="238" t="str">
        <f>Verzie!E121&amp;": "&amp;NAPOVEDA!B21</f>
        <v xml:space="preserve">DIČ: </v>
      </c>
      <c r="C14" s="236"/>
      <c r="D14" s="219"/>
      <c r="E14" s="219"/>
      <c r="F14" s="219"/>
      <c r="G14" s="219"/>
      <c r="H14" s="219"/>
      <c r="I14" s="219"/>
      <c r="J14" s="219"/>
      <c r="K14" s="219"/>
      <c r="L14" s="8"/>
      <c r="M14" s="8"/>
      <c r="N14" s="8"/>
    </row>
    <row r="15" spans="1:22" ht="8.1" customHeight="1">
      <c r="A15" s="8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8"/>
      <c r="M15" s="8"/>
      <c r="N15" s="8"/>
    </row>
    <row r="16" spans="1:22" ht="15" customHeight="1">
      <c r="A16" s="8"/>
      <c r="B16" s="237" t="str">
        <f>IF(NAPOVEDA!B23="","",NAPOVEDA!B23)</f>
        <v/>
      </c>
      <c r="C16" s="227"/>
      <c r="D16" s="219"/>
      <c r="E16" s="219"/>
      <c r="F16" s="219" t="str">
        <f>Verzie!E125</f>
        <v>Číslo objednávky</v>
      </c>
      <c r="G16" s="219"/>
      <c r="H16" s="219"/>
      <c r="I16" s="219"/>
      <c r="J16" s="219"/>
      <c r="K16" s="219"/>
      <c r="L16" s="8"/>
      <c r="M16" s="8"/>
      <c r="N16" s="8"/>
    </row>
    <row r="17" spans="1:22" ht="15" customHeight="1">
      <c r="A17" s="8"/>
      <c r="B17" s="239" t="str">
        <f>IF(NAPOVEDA!B24="","",NAPOVEDA!B24)</f>
        <v/>
      </c>
      <c r="C17" s="231"/>
      <c r="D17" s="219"/>
      <c r="E17" s="219"/>
      <c r="F17" s="361"/>
      <c r="G17" s="361"/>
      <c r="H17" s="361"/>
      <c r="I17" s="361"/>
      <c r="J17" s="361"/>
      <c r="K17" s="361"/>
      <c r="L17" s="8"/>
      <c r="M17" s="8"/>
      <c r="N17" s="8"/>
    </row>
    <row r="18" spans="1:22" ht="15" customHeight="1">
      <c r="A18" s="8"/>
      <c r="B18" s="239" t="str">
        <f>IF(NAPOVEDA!B25="","",NAPOVEDA!B25)</f>
        <v/>
      </c>
      <c r="C18" s="231"/>
      <c r="D18" s="219"/>
      <c r="E18" s="219"/>
      <c r="F18" s="219" t="str">
        <f>Verzie!E126</f>
        <v>Zakázka</v>
      </c>
      <c r="G18" s="219"/>
      <c r="H18" s="219"/>
      <c r="I18" s="219"/>
      <c r="J18" s="219"/>
      <c r="K18" s="219"/>
      <c r="L18" s="8"/>
      <c r="M18" s="8"/>
      <c r="N18" s="8"/>
    </row>
    <row r="19" spans="1:22" ht="15" customHeight="1">
      <c r="A19" s="8"/>
      <c r="B19" s="240"/>
      <c r="C19" s="236"/>
      <c r="D19" s="219"/>
      <c r="E19" s="219"/>
      <c r="F19" s="361"/>
      <c r="G19" s="361"/>
      <c r="H19" s="361"/>
      <c r="I19" s="361"/>
      <c r="J19" s="361"/>
      <c r="K19" s="361"/>
      <c r="L19" s="8"/>
      <c r="M19" s="8"/>
      <c r="N19" s="8"/>
    </row>
    <row r="20" spans="1:22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22" ht="24.6">
      <c r="A21" s="8"/>
      <c r="B21" s="241" t="str">
        <f>Verzie!E124</f>
        <v>Objednávka</v>
      </c>
      <c r="C21" s="242"/>
      <c r="D21" s="242"/>
      <c r="E21" s="242"/>
      <c r="F21" s="243" t="s">
        <v>25</v>
      </c>
      <c r="G21" s="242"/>
      <c r="H21" s="242"/>
      <c r="I21" s="242"/>
      <c r="J21" s="242"/>
      <c r="K21" s="244" t="str">
        <f>Verzie!E137&amp;": "&amp;Verzie!E138</f>
        <v>Verze : 1.0.3</v>
      </c>
      <c r="L21" s="242"/>
      <c r="M21" s="8"/>
      <c r="N21" s="8"/>
    </row>
    <row r="22" spans="1:22" ht="15" customHeight="1">
      <c r="A22" s="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4"/>
      <c r="P22" s="4"/>
      <c r="Q22" s="1"/>
      <c r="R22" s="4"/>
      <c r="S22" s="4"/>
      <c r="T22" s="4"/>
      <c r="U22" s="4"/>
      <c r="V22" s="4"/>
    </row>
    <row r="23" spans="1:22" ht="33.75" customHeight="1">
      <c r="A23" s="1"/>
      <c r="B23" s="245" t="str">
        <f>Verzie!E127</f>
        <v>Číslo artiklu</v>
      </c>
      <c r="C23" s="245" t="str">
        <f>Verzie!E128</f>
        <v>Název</v>
      </c>
      <c r="D23" s="245" t="str">
        <f>Verzie!E129</f>
        <v>balení</v>
      </c>
      <c r="E23" s="246" t="str">
        <f>Verzie!E130</f>
        <v>Sklad</v>
      </c>
      <c r="F23" s="305" t="str">
        <f>Verzie!E131</f>
        <v>Počet</v>
      </c>
      <c r="G23" s="247" t="str">
        <f>Verzie!E132</f>
        <v>Jednotková cena</v>
      </c>
      <c r="H23" s="247" t="str">
        <f>IF(Verzie!E1="CZK"," CZK"," EUR")</f>
        <v xml:space="preserve"> CZK</v>
      </c>
      <c r="I23" s="248" t="str">
        <f>Verzie!E133</f>
        <v>Celkem</v>
      </c>
      <c r="J23" s="249" t="str">
        <f>Verzie!E134</f>
        <v>Změna</v>
      </c>
      <c r="K23" s="247" t="str">
        <f>Verzie!E135</f>
        <v>Volné pole</v>
      </c>
      <c r="L23" s="247" t="str">
        <f>Verzie!E136</f>
        <v>Kód prodejce</v>
      </c>
      <c r="M23" s="1"/>
      <c r="N23" s="250" t="s">
        <v>26</v>
      </c>
      <c r="O23" s="4"/>
      <c r="P23" s="4"/>
      <c r="Q23" s="1"/>
      <c r="R23" s="4"/>
      <c r="S23" s="4"/>
      <c r="T23" s="4"/>
      <c r="U23" s="4"/>
      <c r="V23" s="4"/>
    </row>
    <row r="24" spans="1:22" ht="15" customHeight="1">
      <c r="A24" s="1"/>
      <c r="B24" s="284" t="str">
        <f>IF(ISERROR('zoznam-WLL'!D4),"",'zoznam-WLL'!D4)</f>
        <v/>
      </c>
      <c r="C24" s="252" t="str">
        <f>IF(B24="","",VLOOKUP(B24,Ceny!$B$11:$J$118,2,FALSE))</f>
        <v/>
      </c>
      <c r="D24" s="253" t="str">
        <f>IF(B24="","",VLOOKUP(B24,Ceny!$B$11:$J$118,3,FALSE))</f>
        <v/>
      </c>
      <c r="E24" s="254" t="str">
        <f>IF(B24="","",VLOOKUP(B24,Ceny!$B$11:$E$118,4,FALSE))</f>
        <v/>
      </c>
      <c r="F24" s="255" t="str">
        <f>IF(J24&lt;&gt;"",J24,IF(N24=0,"",N24))</f>
        <v/>
      </c>
      <c r="G24" s="285" t="str">
        <f>IF(B24="","",VLOOKUP(B24,Ceny!$B$11:$L$118,11,FALSE))</f>
        <v/>
      </c>
      <c r="H24" s="256" t="str">
        <f>IF(G24="","",$H$23)</f>
        <v/>
      </c>
      <c r="I24" s="257" t="str">
        <f>IF(F24="","",G24*F24)</f>
        <v/>
      </c>
      <c r="J24" s="258"/>
      <c r="K24" s="259" t="str">
        <f>IF(B24="","",VLOOKUP(B24,Ceny!$B$11:$J$118,8,FALSE))</f>
        <v/>
      </c>
      <c r="L24" s="259" t="str">
        <f>IF(B24="","",VLOOKUP(B24,Ceny!$B$11:$J$118,9,FALSE))</f>
        <v/>
      </c>
      <c r="M24" s="1"/>
      <c r="N24" s="260" t="str">
        <f>IF(ISERROR(VLOOKUP(B24,'zoznam-WLL'!$G$4:$H$93,2,FALSE)),"",VLOOKUP(B24,'zoznam-WLL'!$G$4:$H$93,2,FALSE))</f>
        <v/>
      </c>
      <c r="O24" s="4"/>
      <c r="P24" s="4"/>
      <c r="Q24" s="1"/>
      <c r="R24" s="4"/>
      <c r="S24" s="4"/>
      <c r="T24" s="4"/>
      <c r="U24" s="4"/>
      <c r="V24" s="4"/>
    </row>
    <row r="25" spans="1:22" ht="15" customHeight="1">
      <c r="A25" s="1"/>
      <c r="B25" s="251" t="str">
        <f>IF(ISERROR('zoznam-WLL'!D5),"",'zoznam-WLL'!D5)</f>
        <v/>
      </c>
      <c r="C25" s="267" t="str">
        <f>IF(B25="","",VLOOKUP(B25,Ceny!$B$11:$E$118,2,FALSE))</f>
        <v/>
      </c>
      <c r="D25" s="261" t="str">
        <f>IF(B25="","",VLOOKUP(B25,Ceny!$B$11:$E$118,3,FALSE))</f>
        <v/>
      </c>
      <c r="E25" s="272" t="str">
        <f>IF(B25="","",VLOOKUP(B25,Ceny!$B$11:$E$118,4,FALSE))</f>
        <v/>
      </c>
      <c r="F25" s="262" t="str">
        <f>IF(J25&lt;&gt;"",J25,IF(N25=0,"",N25))</f>
        <v/>
      </c>
      <c r="G25" s="268" t="str">
        <f>IF(B25="","",VLOOKUP(B25,Ceny!$B$11:$L$118,11,FALSE))</f>
        <v/>
      </c>
      <c r="H25" s="263" t="str">
        <f>IF(G25="","",$H$23)</f>
        <v/>
      </c>
      <c r="I25" s="264" t="str">
        <f>IF(F25="","",G25*F25)</f>
        <v/>
      </c>
      <c r="J25" s="265"/>
      <c r="K25" s="266" t="str">
        <f>IF(B25="","",VLOOKUP(B25,Ceny!$B$11:$J$118,8,FALSE))</f>
        <v/>
      </c>
      <c r="L25" s="266" t="str">
        <f>IF(B25="","",VLOOKUP(B25,Ceny!$B$11:$J$118,9,FALSE))</f>
        <v/>
      </c>
      <c r="M25" s="1"/>
      <c r="N25" s="260" t="str">
        <f>IF(ISERROR(VLOOKUP(B25,'zoznam-WLL'!$G$4:$H$93,2,FALSE)),"",VLOOKUP(B25,'zoznam-WLL'!$G$4:$H$93,2,FALSE))</f>
        <v/>
      </c>
      <c r="O25" s="250"/>
      <c r="P25" s="4"/>
      <c r="Q25" s="4"/>
      <c r="R25" s="4"/>
      <c r="S25" s="4"/>
      <c r="T25" s="4"/>
      <c r="U25" s="4"/>
      <c r="V25" s="4"/>
    </row>
    <row r="26" spans="1:22" ht="15" customHeight="1">
      <c r="A26" s="1"/>
      <c r="B26" s="251" t="str">
        <f>IF(ISERROR('zoznam-WLL'!D6),"",'zoznam-WLL'!D6)</f>
        <v/>
      </c>
      <c r="C26" s="267" t="str">
        <f>IF(B26="","",VLOOKUP(B26,Ceny!$B$11:$E$118,2,FALSE))</f>
        <v/>
      </c>
      <c r="D26" s="261" t="str">
        <f>IF(B26="","",VLOOKUP(B26,Ceny!$B$11:$E$118,3,FALSE))</f>
        <v/>
      </c>
      <c r="E26" s="272" t="str">
        <f>IF(B26="","",VLOOKUP(B26,Ceny!$B$11:$E$118,4,FALSE))</f>
        <v/>
      </c>
      <c r="F26" s="262" t="str">
        <f t="shared" ref="F26:F43" si="0">IF(J26&lt;&gt;"",J26,IF(N26=0,"",N26))</f>
        <v/>
      </c>
      <c r="G26" s="268" t="str">
        <f>IF(B26="","",VLOOKUP(B26,Ceny!$B$11:$L$118,11,FALSE))</f>
        <v/>
      </c>
      <c r="H26" s="263" t="str">
        <f t="shared" ref="H26:H43" si="1">IF(G26="","",$H$23)</f>
        <v/>
      </c>
      <c r="I26" s="264" t="str">
        <f t="shared" ref="I26:I43" si="2">IF(F26="","",G26*F26)</f>
        <v/>
      </c>
      <c r="J26" s="265"/>
      <c r="K26" s="266" t="str">
        <f>IF(B26="","",VLOOKUP(B26,Ceny!$B$11:$J$118,8,FALSE))</f>
        <v/>
      </c>
      <c r="L26" s="266" t="str">
        <f>IF(B26="","",VLOOKUP(B26,Ceny!$B$11:$J$118,9,FALSE))</f>
        <v/>
      </c>
      <c r="M26" s="1"/>
      <c r="N26" s="260" t="str">
        <f>IF(ISERROR(VLOOKUP(B26,'zoznam-WLL'!$G$4:$H$93,2,FALSE)),"",VLOOKUP(B26,'zoznam-WLL'!$G$4:$H$93,2,FALSE))</f>
        <v/>
      </c>
      <c r="O26" s="250"/>
      <c r="P26" s="4"/>
      <c r="Q26" s="4"/>
      <c r="R26" s="4"/>
      <c r="S26" s="4"/>
      <c r="T26" s="4"/>
      <c r="U26" s="4"/>
      <c r="V26" s="4"/>
    </row>
    <row r="27" spans="1:22" ht="15" customHeight="1">
      <c r="A27" s="1"/>
      <c r="B27" s="251" t="str">
        <f>IF(ISERROR('zoznam-WLL'!D7),"",'zoznam-WLL'!D7)</f>
        <v/>
      </c>
      <c r="C27" s="267" t="str">
        <f>IF(B27="","",VLOOKUP(B27,Ceny!$B$11:$E$118,2,FALSE))</f>
        <v/>
      </c>
      <c r="D27" s="261" t="str">
        <f>IF(B27="","",VLOOKUP(B27,Ceny!$B$11:$E$118,3,FALSE))</f>
        <v/>
      </c>
      <c r="E27" s="272" t="str">
        <f>IF(B27="","",VLOOKUP(B27,Ceny!$B$11:$E$118,4,FALSE))</f>
        <v/>
      </c>
      <c r="F27" s="262" t="str">
        <f t="shared" si="0"/>
        <v/>
      </c>
      <c r="G27" s="268" t="str">
        <f>IF(B27="","",VLOOKUP(B27,Ceny!$B$11:$L$118,11,FALSE))</f>
        <v/>
      </c>
      <c r="H27" s="269" t="str">
        <f t="shared" si="1"/>
        <v/>
      </c>
      <c r="I27" s="264" t="str">
        <f t="shared" si="2"/>
        <v/>
      </c>
      <c r="J27" s="270"/>
      <c r="K27" s="271" t="str">
        <f>IF(B27="","",VLOOKUP(B27,Ceny!$B$11:$J$118,8,FALSE))</f>
        <v/>
      </c>
      <c r="L27" s="271" t="str">
        <f>IF(B27="","",VLOOKUP(B27,Ceny!$B$11:$J$118,9,FALSE))</f>
        <v/>
      </c>
      <c r="M27" s="1"/>
      <c r="N27" s="260" t="str">
        <f>IF(ISERROR(VLOOKUP(B27,'zoznam-WLL'!$G$4:$H$93,2,FALSE)),"",VLOOKUP(B27,'zoznam-WLL'!$G$4:$H$93,2,FALSE))</f>
        <v/>
      </c>
      <c r="O27" s="250"/>
      <c r="P27" s="4"/>
      <c r="Q27" s="4"/>
      <c r="R27" s="4"/>
      <c r="S27" s="4"/>
      <c r="T27" s="4"/>
      <c r="U27" s="4"/>
      <c r="V27" s="4"/>
    </row>
    <row r="28" spans="1:22" ht="15" customHeight="1">
      <c r="A28" s="1"/>
      <c r="B28" s="251" t="str">
        <f>IF(ISERROR('zoznam-WLL'!D8),"",'zoznam-WLL'!D8)</f>
        <v/>
      </c>
      <c r="C28" s="267" t="str">
        <f>IF(B28="","",VLOOKUP(B28,Ceny!$B$11:$E$118,2,FALSE))</f>
        <v/>
      </c>
      <c r="D28" s="261" t="str">
        <f>IF(B28="","",VLOOKUP(B28,Ceny!$B$11:$E$118,3,FALSE))</f>
        <v/>
      </c>
      <c r="E28" s="272" t="str">
        <f>IF(B28="","",VLOOKUP(B28,Ceny!$B$11:$E$118,4,FALSE))</f>
        <v/>
      </c>
      <c r="F28" s="262" t="str">
        <f t="shared" si="0"/>
        <v/>
      </c>
      <c r="G28" s="268" t="str">
        <f>IF(B28="","",VLOOKUP(B28,Ceny!$B$11:$L$118,11,FALSE))</f>
        <v/>
      </c>
      <c r="H28" s="269" t="str">
        <f t="shared" si="1"/>
        <v/>
      </c>
      <c r="I28" s="264" t="str">
        <f t="shared" si="2"/>
        <v/>
      </c>
      <c r="J28" s="270"/>
      <c r="K28" s="271" t="str">
        <f>IF(B28="","",VLOOKUP(B28,Ceny!$B$11:$J$118,8,FALSE))</f>
        <v/>
      </c>
      <c r="L28" s="271" t="str">
        <f>IF(B28="","",VLOOKUP(B28,Ceny!$B$11:$J$118,9,FALSE))</f>
        <v/>
      </c>
      <c r="M28" s="1"/>
      <c r="N28" s="260" t="str">
        <f>IF(ISERROR(VLOOKUP(B28,'zoznam-WLL'!$G$4:$H$93,2,FALSE)),"",VLOOKUP(B28,'zoznam-WLL'!$G$4:$H$93,2,FALSE))</f>
        <v/>
      </c>
      <c r="O28" s="250"/>
      <c r="P28" s="4"/>
      <c r="Q28" s="4"/>
      <c r="R28" s="4"/>
      <c r="S28" s="4"/>
      <c r="T28" s="4"/>
      <c r="U28" s="4"/>
      <c r="V28" s="4"/>
    </row>
    <row r="29" spans="1:22" ht="15" customHeight="1">
      <c r="A29" s="1"/>
      <c r="B29" s="251" t="str">
        <f>IF(ISERROR('zoznam-WLL'!D9),"",'zoznam-WLL'!D9)</f>
        <v/>
      </c>
      <c r="C29" s="267" t="str">
        <f>IF(B29="","",VLOOKUP(B29,Ceny!$B$11:$E$118,2,FALSE))</f>
        <v/>
      </c>
      <c r="D29" s="261" t="str">
        <f>IF(B29="","",VLOOKUP(B29,Ceny!$B$11:$E$118,3,FALSE))</f>
        <v/>
      </c>
      <c r="E29" s="272" t="str">
        <f>IF(B29="","",VLOOKUP(B29,Ceny!$B$11:$E$118,4,FALSE))</f>
        <v/>
      </c>
      <c r="F29" s="262" t="str">
        <f t="shared" si="0"/>
        <v/>
      </c>
      <c r="G29" s="268" t="str">
        <f>IF(B29="","",VLOOKUP(B29,Ceny!$B$11:$L$118,11,FALSE))</f>
        <v/>
      </c>
      <c r="H29" s="269" t="str">
        <f t="shared" si="1"/>
        <v/>
      </c>
      <c r="I29" s="264" t="str">
        <f t="shared" si="2"/>
        <v/>
      </c>
      <c r="J29" s="270"/>
      <c r="K29" s="271" t="str">
        <f>IF(B29="","",VLOOKUP(B29,Ceny!$B$11:$J$118,8,FALSE))</f>
        <v/>
      </c>
      <c r="L29" s="271" t="str">
        <f>IF(B29="","",VLOOKUP(B29,Ceny!$B$11:$J$118,9,FALSE))</f>
        <v/>
      </c>
      <c r="M29" s="250"/>
      <c r="N29" s="260" t="str">
        <f>IF(ISERROR(VLOOKUP(B29,'zoznam-WLL'!$G$4:$H$93,2,FALSE)),"",VLOOKUP(B29,'zoznam-WLL'!$G$4:$H$93,2,FALSE))</f>
        <v/>
      </c>
      <c r="O29" s="250"/>
      <c r="P29" s="4"/>
      <c r="Q29" s="4"/>
      <c r="R29" s="4"/>
      <c r="S29" s="4"/>
      <c r="T29" s="4"/>
      <c r="U29" s="4"/>
      <c r="V29" s="4"/>
    </row>
    <row r="30" spans="1:22" ht="15" customHeight="1">
      <c r="A30" s="1"/>
      <c r="B30" s="251" t="str">
        <f>IF(ISERROR('zoznam-WLL'!D10),"",'zoznam-WLL'!D10)</f>
        <v/>
      </c>
      <c r="C30" s="267" t="str">
        <f>IF(B30="","",VLOOKUP(B30,Ceny!$B$11:$E$118,2,FALSE))</f>
        <v/>
      </c>
      <c r="D30" s="261" t="str">
        <f>IF(B30="","",VLOOKUP(B30,Ceny!$B$11:$E$118,3,FALSE))</f>
        <v/>
      </c>
      <c r="E30" s="272" t="str">
        <f>IF(B30="","",VLOOKUP(B30,Ceny!$B$11:$E$118,4,FALSE))</f>
        <v/>
      </c>
      <c r="F30" s="262" t="str">
        <f t="shared" si="0"/>
        <v/>
      </c>
      <c r="G30" s="268" t="str">
        <f>IF(B30="","",VLOOKUP(B30,Ceny!$B$11:$L$118,11,FALSE))</f>
        <v/>
      </c>
      <c r="H30" s="269" t="str">
        <f t="shared" si="1"/>
        <v/>
      </c>
      <c r="I30" s="264" t="str">
        <f t="shared" si="2"/>
        <v/>
      </c>
      <c r="J30" s="270"/>
      <c r="K30" s="271" t="str">
        <f>IF(B30="","",VLOOKUP(B30,Ceny!$B$11:$J$118,8,FALSE))</f>
        <v/>
      </c>
      <c r="L30" s="271" t="str">
        <f>IF(B30="","",VLOOKUP(B30,Ceny!$B$11:$J$118,9,FALSE))</f>
        <v/>
      </c>
      <c r="M30" s="1"/>
      <c r="N30" s="260" t="str">
        <f>IF(ISERROR(VLOOKUP(B30,'zoznam-WLL'!$G$4:$H$93,2,FALSE)),"",VLOOKUP(B30,'zoznam-WLL'!$G$4:$H$93,2,FALSE))</f>
        <v/>
      </c>
      <c r="O30" s="250"/>
      <c r="P30" s="4"/>
      <c r="Q30" s="4"/>
      <c r="R30" s="4"/>
      <c r="S30" s="4"/>
      <c r="T30" s="4"/>
      <c r="U30" s="4"/>
      <c r="V30" s="4"/>
    </row>
    <row r="31" spans="1:22" ht="15" customHeight="1">
      <c r="A31" s="1"/>
      <c r="B31" s="251" t="str">
        <f>IF(ISERROR('zoznam-WLL'!D11),"",'zoznam-WLL'!D11)</f>
        <v/>
      </c>
      <c r="C31" s="267" t="str">
        <f>IF(B31="","",VLOOKUP(B31,Ceny!$B$11:$E$118,2,FALSE))</f>
        <v/>
      </c>
      <c r="D31" s="261" t="str">
        <f>IF(B31="","",VLOOKUP(B31,Ceny!$B$11:$E$118,3,FALSE))</f>
        <v/>
      </c>
      <c r="E31" s="272" t="str">
        <f>IF(B31="","",VLOOKUP(B31,Ceny!$B$11:$E$118,4,FALSE))</f>
        <v/>
      </c>
      <c r="F31" s="262" t="str">
        <f t="shared" si="0"/>
        <v/>
      </c>
      <c r="G31" s="268" t="str">
        <f>IF(B31="","",VLOOKUP(B31,Ceny!$B$11:$L$118,11,FALSE))</f>
        <v/>
      </c>
      <c r="H31" s="269" t="str">
        <f t="shared" si="1"/>
        <v/>
      </c>
      <c r="I31" s="264" t="str">
        <f t="shared" si="2"/>
        <v/>
      </c>
      <c r="J31" s="270"/>
      <c r="K31" s="271" t="str">
        <f>IF(B31="","",VLOOKUP(B31,Ceny!$B$11:$J$118,8,FALSE))</f>
        <v/>
      </c>
      <c r="L31" s="271" t="str">
        <f>IF(B31="","",VLOOKUP(B31,Ceny!$B$11:$J$118,9,FALSE))</f>
        <v/>
      </c>
      <c r="M31" s="1"/>
      <c r="N31" s="260" t="str">
        <f>IF(ISERROR(VLOOKUP(B31,'zoznam-WLL'!$G$4:$H$93,2,FALSE)),"",VLOOKUP(B31,'zoznam-WLL'!$G$4:$H$93,2,FALSE))</f>
        <v/>
      </c>
      <c r="O31" s="250"/>
      <c r="P31" s="4"/>
      <c r="Q31" s="4"/>
      <c r="R31" s="4"/>
      <c r="S31" s="4"/>
      <c r="T31" s="4"/>
      <c r="U31" s="4"/>
      <c r="V31" s="4"/>
    </row>
    <row r="32" spans="1:22" ht="15" customHeight="1">
      <c r="A32" s="1"/>
      <c r="B32" s="251" t="str">
        <f>IF(ISERROR('zoznam-WLL'!D12),"",'zoznam-WLL'!D12)</f>
        <v/>
      </c>
      <c r="C32" s="267" t="str">
        <f>IF(B32="","",VLOOKUP(B32,Ceny!$B$11:$E$118,2,FALSE))</f>
        <v/>
      </c>
      <c r="D32" s="261" t="str">
        <f>IF(B32="","",VLOOKUP(B32,Ceny!$B$11:$E$118,3,FALSE))</f>
        <v/>
      </c>
      <c r="E32" s="272" t="str">
        <f>IF(B32="","",VLOOKUP(B32,Ceny!$B$11:$E$118,4,FALSE))</f>
        <v/>
      </c>
      <c r="F32" s="262" t="str">
        <f t="shared" si="0"/>
        <v/>
      </c>
      <c r="G32" s="268" t="str">
        <f>IF(B32="","",VLOOKUP(B32,Ceny!$B$11:$L$118,11,FALSE))</f>
        <v/>
      </c>
      <c r="H32" s="269" t="str">
        <f t="shared" si="1"/>
        <v/>
      </c>
      <c r="I32" s="264" t="str">
        <f t="shared" si="2"/>
        <v/>
      </c>
      <c r="J32" s="270"/>
      <c r="K32" s="271" t="str">
        <f>IF(B32="","",VLOOKUP(B32,Ceny!$B$11:$J$118,8,FALSE))</f>
        <v/>
      </c>
      <c r="L32" s="271" t="str">
        <f>IF(B32="","",VLOOKUP(B32,Ceny!$B$11:$J$118,9,FALSE))</f>
        <v/>
      </c>
      <c r="M32" s="250"/>
      <c r="N32" s="260" t="str">
        <f>IF(ISERROR(VLOOKUP(B32,'zoznam-WLL'!$G$4:$H$93,2,FALSE)),"",VLOOKUP(B32,'zoznam-WLL'!$G$4:$H$93,2,FALSE))</f>
        <v/>
      </c>
      <c r="O32" s="250"/>
      <c r="P32" s="4"/>
      <c r="Q32" s="4"/>
      <c r="R32" s="4"/>
      <c r="S32" s="4"/>
      <c r="T32" s="4"/>
      <c r="U32" s="4"/>
      <c r="V32" s="4"/>
    </row>
    <row r="33" spans="1:22" ht="15" customHeight="1">
      <c r="A33" s="1"/>
      <c r="B33" s="251" t="str">
        <f>IF(ISERROR('zoznam-WLL'!D13),"",'zoznam-WLL'!D13)</f>
        <v/>
      </c>
      <c r="C33" s="267" t="str">
        <f>IF(B33="","",VLOOKUP(B33,Ceny!$B$11:$E$118,2,FALSE))</f>
        <v/>
      </c>
      <c r="D33" s="261" t="str">
        <f>IF(B33="","",VLOOKUP(B33,Ceny!$B$11:$E$118,3,FALSE))</f>
        <v/>
      </c>
      <c r="E33" s="272" t="str">
        <f>IF(B33="","",VLOOKUP(B33,Ceny!$B$11:$E$118,4,FALSE))</f>
        <v/>
      </c>
      <c r="F33" s="262" t="str">
        <f t="shared" si="0"/>
        <v/>
      </c>
      <c r="G33" s="268" t="str">
        <f>IF(B33="","",VLOOKUP(B33,Ceny!$B$11:$L$118,11,FALSE))</f>
        <v/>
      </c>
      <c r="H33" s="269" t="str">
        <f t="shared" si="1"/>
        <v/>
      </c>
      <c r="I33" s="264" t="str">
        <f t="shared" si="2"/>
        <v/>
      </c>
      <c r="J33" s="270"/>
      <c r="K33" s="271" t="str">
        <f>IF(B33="","",VLOOKUP(B33,Ceny!$B$11:$J$118,8,FALSE))</f>
        <v/>
      </c>
      <c r="L33" s="271" t="str">
        <f>IF(B33="","",VLOOKUP(B33,Ceny!$B$11:$J$118,9,FALSE))</f>
        <v/>
      </c>
      <c r="M33" s="250"/>
      <c r="N33" s="260" t="str">
        <f>IF(ISERROR(VLOOKUP(B33,'zoznam-WLL'!$G$4:$H$93,2,FALSE)),"",VLOOKUP(B33,'zoznam-WLL'!$G$4:$H$93,2,FALSE))</f>
        <v/>
      </c>
      <c r="O33" s="250"/>
      <c r="P33" s="4"/>
      <c r="Q33" s="4"/>
      <c r="R33" s="4"/>
      <c r="S33" s="4"/>
      <c r="T33" s="4"/>
      <c r="U33" s="4"/>
      <c r="V33" s="4"/>
    </row>
    <row r="34" spans="1:22" ht="15" customHeight="1">
      <c r="A34" s="1"/>
      <c r="B34" s="251" t="str">
        <f>IF(ISERROR('zoznam-WLL'!D14),"",'zoznam-WLL'!D14)</f>
        <v/>
      </c>
      <c r="C34" s="267" t="str">
        <f>IF(B34="","",VLOOKUP(B34,Ceny!$B$11:$E$118,2,FALSE))</f>
        <v/>
      </c>
      <c r="D34" s="261" t="str">
        <f>IF(B34="","",VLOOKUP(B34,Ceny!$B$11:$E$118,3,FALSE))</f>
        <v/>
      </c>
      <c r="E34" s="272" t="str">
        <f>IF(B34="","",VLOOKUP(B34,Ceny!$B$11:$E$118,4,FALSE))</f>
        <v/>
      </c>
      <c r="F34" s="262" t="str">
        <f t="shared" si="0"/>
        <v/>
      </c>
      <c r="G34" s="268" t="str">
        <f>IF(B34="","",VLOOKUP(B34,Ceny!$B$11:$L$118,11,FALSE))</f>
        <v/>
      </c>
      <c r="H34" s="269" t="str">
        <f t="shared" si="1"/>
        <v/>
      </c>
      <c r="I34" s="264" t="str">
        <f t="shared" si="2"/>
        <v/>
      </c>
      <c r="J34" s="270"/>
      <c r="K34" s="271" t="str">
        <f>IF(B34="","",VLOOKUP(B34,Ceny!$B$11:$J$118,8,FALSE))</f>
        <v/>
      </c>
      <c r="L34" s="271" t="str">
        <f>IF(B34="","",VLOOKUP(B34,Ceny!$B$11:$J$118,9,FALSE))</f>
        <v/>
      </c>
      <c r="M34" s="250"/>
      <c r="N34" s="260" t="str">
        <f>IF(ISERROR(VLOOKUP(B34,'zoznam-WLL'!$G$4:$H$93,2,FALSE)),"",VLOOKUP(B34,'zoznam-WLL'!$G$4:$H$93,2,FALSE))</f>
        <v/>
      </c>
      <c r="O34" s="250"/>
      <c r="P34" s="4"/>
      <c r="Q34" s="4"/>
      <c r="R34" s="4"/>
      <c r="S34" s="4"/>
      <c r="T34" s="4"/>
      <c r="U34" s="4"/>
      <c r="V34" s="4"/>
    </row>
    <row r="35" spans="1:22" ht="15" customHeight="1">
      <c r="A35" s="1"/>
      <c r="B35" s="251" t="str">
        <f>IF(ISERROR('zoznam-WLL'!D15),"",'zoznam-WLL'!D15)</f>
        <v/>
      </c>
      <c r="C35" s="267" t="str">
        <f>IF(B35="","",VLOOKUP(B35,Ceny!$B$11:$E$118,2,FALSE))</f>
        <v/>
      </c>
      <c r="D35" s="261" t="str">
        <f>IF(B35="","",VLOOKUP(B35,Ceny!$B$11:$E$118,3,FALSE))</f>
        <v/>
      </c>
      <c r="E35" s="272" t="str">
        <f>IF(B35="","",VLOOKUP(B35,Ceny!$B$11:$E$118,4,FALSE))</f>
        <v/>
      </c>
      <c r="F35" s="262" t="str">
        <f t="shared" si="0"/>
        <v/>
      </c>
      <c r="G35" s="268" t="str">
        <f>IF(B35="","",VLOOKUP(B35,Ceny!$B$11:$L$118,11,FALSE))</f>
        <v/>
      </c>
      <c r="H35" s="269" t="str">
        <f t="shared" si="1"/>
        <v/>
      </c>
      <c r="I35" s="264" t="str">
        <f t="shared" si="2"/>
        <v/>
      </c>
      <c r="J35" s="270"/>
      <c r="K35" s="271" t="str">
        <f>IF(B35="","",VLOOKUP(B35,Ceny!$B$11:$J$118,8,FALSE))</f>
        <v/>
      </c>
      <c r="L35" s="271" t="str">
        <f>IF(B35="","",VLOOKUP(B35,Ceny!$B$11:$J$118,9,FALSE))</f>
        <v/>
      </c>
      <c r="M35" s="250"/>
      <c r="N35" s="260" t="str">
        <f>IF(ISERROR(VLOOKUP(B35,'zoznam-WLL'!$G$4:$H$93,2,FALSE)),"",VLOOKUP(B35,'zoznam-WLL'!$G$4:$H$93,2,FALSE))</f>
        <v/>
      </c>
      <c r="O35" s="250"/>
      <c r="P35" s="4"/>
      <c r="Q35" s="4"/>
      <c r="R35" s="4"/>
      <c r="S35" s="4"/>
      <c r="T35" s="4"/>
      <c r="U35" s="4"/>
      <c r="V35" s="4"/>
    </row>
    <row r="36" spans="1:22" ht="15" customHeight="1">
      <c r="A36" s="1"/>
      <c r="B36" s="251" t="str">
        <f>IF(ISERROR('zoznam-WLL'!D16),"",'zoznam-WLL'!D16)</f>
        <v/>
      </c>
      <c r="C36" s="267" t="str">
        <f>IF(B36="","",VLOOKUP(B36,Ceny!$B$11:$E$118,2,FALSE))</f>
        <v/>
      </c>
      <c r="D36" s="261" t="str">
        <f>IF(B36="","",VLOOKUP(B36,Ceny!$B$11:$E$118,3,FALSE))</f>
        <v/>
      </c>
      <c r="E36" s="272" t="str">
        <f>IF(B36="","",VLOOKUP(B36,Ceny!$B$11:$E$118,4,FALSE))</f>
        <v/>
      </c>
      <c r="F36" s="262" t="str">
        <f t="shared" si="0"/>
        <v/>
      </c>
      <c r="G36" s="268" t="str">
        <f>IF(B36="","",VLOOKUP(B36,Ceny!$B$11:$L$118,11,FALSE))</f>
        <v/>
      </c>
      <c r="H36" s="269" t="str">
        <f t="shared" si="1"/>
        <v/>
      </c>
      <c r="I36" s="264" t="str">
        <f t="shared" si="2"/>
        <v/>
      </c>
      <c r="J36" s="270"/>
      <c r="K36" s="271" t="str">
        <f>IF(B36="","",VLOOKUP(B36,Ceny!$B$11:$J$118,8,FALSE))</f>
        <v/>
      </c>
      <c r="L36" s="271" t="str">
        <f>IF(B36="","",VLOOKUP(B36,Ceny!$B$11:$J$118,9,FALSE))</f>
        <v/>
      </c>
      <c r="M36" s="250"/>
      <c r="N36" s="260" t="str">
        <f>IF(ISERROR(VLOOKUP(B36,'zoznam-WLL'!$G$4:$H$93,2,FALSE)),"",VLOOKUP(B36,'zoznam-WLL'!$G$4:$H$93,2,FALSE))</f>
        <v/>
      </c>
      <c r="O36" s="250"/>
      <c r="P36" s="4"/>
      <c r="Q36" s="4"/>
      <c r="R36" s="4"/>
      <c r="S36" s="4"/>
      <c r="T36" s="4"/>
      <c r="U36" s="4"/>
      <c r="V36" s="4"/>
    </row>
    <row r="37" spans="1:22" ht="15" customHeight="1">
      <c r="A37" s="1"/>
      <c r="B37" s="251" t="str">
        <f>IF(ISERROR('zoznam-WLL'!D17),"",'zoznam-WLL'!D17)</f>
        <v/>
      </c>
      <c r="C37" s="267" t="str">
        <f>IF(B37="","",VLOOKUP(B37,Ceny!$B$11:$E$118,2,FALSE))</f>
        <v/>
      </c>
      <c r="D37" s="261" t="str">
        <f>IF(B37="","",VLOOKUP(B37,Ceny!$B$11:$E$118,3,FALSE))</f>
        <v/>
      </c>
      <c r="E37" s="272" t="str">
        <f>IF(B37="","",VLOOKUP(B37,Ceny!$B$11:$E$118,4,FALSE))</f>
        <v/>
      </c>
      <c r="F37" s="262" t="str">
        <f t="shared" si="0"/>
        <v/>
      </c>
      <c r="G37" s="268" t="str">
        <f>IF(B37="","",VLOOKUP(B37,Ceny!$B$11:$L$118,11,FALSE))</f>
        <v/>
      </c>
      <c r="H37" s="269" t="str">
        <f t="shared" si="1"/>
        <v/>
      </c>
      <c r="I37" s="264" t="str">
        <f t="shared" si="2"/>
        <v/>
      </c>
      <c r="J37" s="270"/>
      <c r="K37" s="271" t="str">
        <f>IF(B37="","",VLOOKUP(B37,Ceny!$B$11:$J$118,8,FALSE))</f>
        <v/>
      </c>
      <c r="L37" s="271" t="str">
        <f>IF(B37="","",VLOOKUP(B37,Ceny!$B$11:$J$118,9,FALSE))</f>
        <v/>
      </c>
      <c r="M37" s="250"/>
      <c r="N37" s="260" t="str">
        <f>IF(ISERROR(VLOOKUP(B37,'zoznam-WLL'!$G$4:$H$93,2,FALSE)),"",VLOOKUP(B37,'zoznam-WLL'!$G$4:$H$93,2,FALSE))</f>
        <v/>
      </c>
      <c r="O37" s="250"/>
      <c r="P37" s="4"/>
      <c r="Q37" s="4"/>
      <c r="R37" s="4"/>
      <c r="S37" s="4"/>
      <c r="T37" s="4"/>
      <c r="U37" s="4"/>
      <c r="V37" s="4"/>
    </row>
    <row r="38" spans="1:22" ht="15" customHeight="1">
      <c r="A38" s="1"/>
      <c r="B38" s="251" t="str">
        <f>IF(ISERROR('zoznam-WLL'!D18),"",'zoznam-WLL'!D18)</f>
        <v/>
      </c>
      <c r="C38" s="267" t="str">
        <f>IF(B38="","",VLOOKUP(B38,Ceny!$B$11:$E$118,2,FALSE))</f>
        <v/>
      </c>
      <c r="D38" s="261" t="str">
        <f>IF(B38="","",VLOOKUP(B38,Ceny!$B$11:$E$118,3,FALSE))</f>
        <v/>
      </c>
      <c r="E38" s="272" t="str">
        <f>IF(B38="","",VLOOKUP(B38,Ceny!$B$11:$E$118,4,FALSE))</f>
        <v/>
      </c>
      <c r="F38" s="262" t="str">
        <f t="shared" si="0"/>
        <v/>
      </c>
      <c r="G38" s="268" t="str">
        <f>IF(B38="","",VLOOKUP(B38,Ceny!$B$11:$L$118,11,FALSE))</f>
        <v/>
      </c>
      <c r="H38" s="269" t="str">
        <f t="shared" si="1"/>
        <v/>
      </c>
      <c r="I38" s="264" t="str">
        <f t="shared" si="2"/>
        <v/>
      </c>
      <c r="J38" s="270"/>
      <c r="K38" s="271" t="str">
        <f>IF(B38="","",VLOOKUP(B38,Ceny!$B$11:$J$118,8,FALSE))</f>
        <v/>
      </c>
      <c r="L38" s="271" t="str">
        <f>IF(B38="","",VLOOKUP(B38,Ceny!$B$11:$J$118,9,FALSE))</f>
        <v/>
      </c>
      <c r="M38" s="250"/>
      <c r="N38" s="260" t="str">
        <f>IF(ISERROR(VLOOKUP(B38,'zoznam-WLL'!$G$4:$H$93,2,FALSE)),"",VLOOKUP(B38,'zoznam-WLL'!$G$4:$H$93,2,FALSE))</f>
        <v/>
      </c>
      <c r="O38" s="250"/>
      <c r="P38" s="4"/>
      <c r="Q38" s="4"/>
      <c r="R38" s="4"/>
      <c r="S38" s="4"/>
      <c r="T38" s="4"/>
      <c r="U38" s="4"/>
      <c r="V38" s="4"/>
    </row>
    <row r="39" spans="1:22" ht="15" customHeight="1">
      <c r="A39" s="1"/>
      <c r="B39" s="251" t="str">
        <f>IF(ISERROR('zoznam-WLL'!D19),"",'zoznam-WLL'!D19)</f>
        <v/>
      </c>
      <c r="C39" s="267" t="str">
        <f>IF(B39="","",VLOOKUP(B39,Ceny!$B$11:$E$118,2,FALSE))</f>
        <v/>
      </c>
      <c r="D39" s="261" t="str">
        <f>IF(B39="","",VLOOKUP(B39,Ceny!$B$11:$E$118,3,FALSE))</f>
        <v/>
      </c>
      <c r="E39" s="272" t="str">
        <f>IF(B39="","",VLOOKUP(B39,Ceny!$B$11:$E$118,4,FALSE))</f>
        <v/>
      </c>
      <c r="F39" s="262" t="str">
        <f t="shared" si="0"/>
        <v/>
      </c>
      <c r="G39" s="268" t="str">
        <f>IF(B39="","",VLOOKUP(B39,Ceny!$B$11:$L$118,11,FALSE))</f>
        <v/>
      </c>
      <c r="H39" s="269" t="str">
        <f t="shared" si="1"/>
        <v/>
      </c>
      <c r="I39" s="264" t="str">
        <f t="shared" si="2"/>
        <v/>
      </c>
      <c r="J39" s="270"/>
      <c r="K39" s="271" t="str">
        <f>IF(B39="","",VLOOKUP(B39,Ceny!$B$11:$J$118,8,FALSE))</f>
        <v/>
      </c>
      <c r="L39" s="271" t="str">
        <f>IF(B39="","",VLOOKUP(B39,Ceny!$B$11:$J$118,9,FALSE))</f>
        <v/>
      </c>
      <c r="M39" s="250"/>
      <c r="N39" s="260" t="str">
        <f>IF(ISERROR(VLOOKUP(B39,'zoznam-WLL'!$G$4:$H$93,2,FALSE)),"",VLOOKUP(B39,'zoznam-WLL'!$G$4:$H$93,2,FALSE))</f>
        <v/>
      </c>
      <c r="O39" s="250"/>
      <c r="P39" s="4"/>
      <c r="Q39" s="4"/>
      <c r="R39" s="4"/>
      <c r="S39" s="4"/>
      <c r="T39" s="4"/>
      <c r="U39" s="4"/>
      <c r="V39" s="4"/>
    </row>
    <row r="40" spans="1:22" ht="15" customHeight="1">
      <c r="A40" s="1"/>
      <c r="B40" s="251" t="str">
        <f>IF(ISERROR('zoznam-WLL'!D20),"",'zoznam-WLL'!D20)</f>
        <v/>
      </c>
      <c r="C40" s="267" t="str">
        <f>IF(B40="","",VLOOKUP(B40,Ceny!$B$11:$E$118,2,FALSE))</f>
        <v/>
      </c>
      <c r="D40" s="261" t="str">
        <f>IF(B40="","",VLOOKUP(B40,Ceny!$B$11:$E$118,3,FALSE))</f>
        <v/>
      </c>
      <c r="E40" s="272" t="str">
        <f>IF(B40="","",VLOOKUP(B40,Ceny!$B$11:$E$118,4,FALSE))</f>
        <v/>
      </c>
      <c r="F40" s="262" t="str">
        <f t="shared" si="0"/>
        <v/>
      </c>
      <c r="G40" s="268" t="str">
        <f>IF(B40="","",VLOOKUP(B40,Ceny!$B$11:$L$118,11,FALSE))</f>
        <v/>
      </c>
      <c r="H40" s="269" t="str">
        <f t="shared" si="1"/>
        <v/>
      </c>
      <c r="I40" s="264" t="str">
        <f t="shared" si="2"/>
        <v/>
      </c>
      <c r="J40" s="270"/>
      <c r="K40" s="271" t="str">
        <f>IF(B40="","",VLOOKUP(B40,Ceny!$B$11:$J$118,8,FALSE))</f>
        <v/>
      </c>
      <c r="L40" s="271" t="str">
        <f>IF(B40="","",VLOOKUP(B40,Ceny!$B$11:$J$118,9,FALSE))</f>
        <v/>
      </c>
      <c r="M40" s="250"/>
      <c r="N40" s="260" t="str">
        <f>IF(ISERROR(VLOOKUP(B40,'zoznam-WLL'!$G$4:$H$93,2,FALSE)),"",VLOOKUP(B40,'zoznam-WLL'!$G$4:$H$93,2,FALSE))</f>
        <v/>
      </c>
      <c r="O40" s="250"/>
      <c r="P40" s="4"/>
      <c r="Q40" s="4"/>
      <c r="R40" s="4"/>
      <c r="S40" s="4"/>
      <c r="T40" s="4"/>
      <c r="U40" s="4"/>
      <c r="V40" s="4"/>
    </row>
    <row r="41" spans="1:22" ht="15" customHeight="1">
      <c r="A41" s="1"/>
      <c r="B41" s="251" t="str">
        <f>IF(ISERROR('zoznam-WLL'!D21),"",'zoznam-WLL'!D21)</f>
        <v/>
      </c>
      <c r="C41" s="267" t="str">
        <f>IF(B41="","",VLOOKUP(B41,Ceny!$B$11:$E$118,2,FALSE))</f>
        <v/>
      </c>
      <c r="D41" s="261" t="str">
        <f>IF(B41="","",VLOOKUP(B41,Ceny!$B$11:$E$118,3,FALSE))</f>
        <v/>
      </c>
      <c r="E41" s="272" t="str">
        <f>IF(B41="","",VLOOKUP(B41,Ceny!$B$11:$E$118,4,FALSE))</f>
        <v/>
      </c>
      <c r="F41" s="262" t="str">
        <f t="shared" si="0"/>
        <v/>
      </c>
      <c r="G41" s="268" t="str">
        <f>IF(B41="","",VLOOKUP(B41,Ceny!$B$11:$L$118,11,FALSE))</f>
        <v/>
      </c>
      <c r="H41" s="269" t="str">
        <f t="shared" si="1"/>
        <v/>
      </c>
      <c r="I41" s="264" t="str">
        <f t="shared" si="2"/>
        <v/>
      </c>
      <c r="J41" s="270"/>
      <c r="K41" s="271" t="str">
        <f>IF(B41="","",VLOOKUP(B41,Ceny!$B$11:$J$118,8,FALSE))</f>
        <v/>
      </c>
      <c r="L41" s="271" t="str">
        <f>IF(B41="","",VLOOKUP(B41,Ceny!$B$11:$J$118,9,FALSE))</f>
        <v/>
      </c>
      <c r="M41" s="250"/>
      <c r="N41" s="260" t="str">
        <f>IF(ISERROR(VLOOKUP(B41,'zoznam-WLL'!$G$4:$H$93,2,FALSE)),"",VLOOKUP(B41,'zoznam-WLL'!$G$4:$H$93,2,FALSE))</f>
        <v/>
      </c>
      <c r="O41" s="250"/>
      <c r="P41" s="4"/>
      <c r="Q41" s="4"/>
      <c r="R41" s="4"/>
      <c r="S41" s="4"/>
      <c r="T41" s="4"/>
      <c r="U41" s="4"/>
      <c r="V41" s="4"/>
    </row>
    <row r="42" spans="1:22" ht="15" customHeight="1">
      <c r="A42" s="1"/>
      <c r="B42" s="251" t="str">
        <f>IF(ISERROR('zoznam-WLL'!D22),"",'zoznam-WLL'!D22)</f>
        <v/>
      </c>
      <c r="C42" s="267" t="str">
        <f>IF(B42="","",VLOOKUP(B42,Ceny!$B$11:$E$118,2,FALSE))</f>
        <v/>
      </c>
      <c r="D42" s="261" t="str">
        <f>IF(B42="","",VLOOKUP(B42,Ceny!$B$11:$E$118,3,FALSE))</f>
        <v/>
      </c>
      <c r="E42" s="272" t="str">
        <f>IF(B42="","",VLOOKUP(B42,Ceny!$B$11:$E$118,4,FALSE))</f>
        <v/>
      </c>
      <c r="F42" s="262" t="str">
        <f t="shared" si="0"/>
        <v/>
      </c>
      <c r="G42" s="268" t="str">
        <f>IF(B42="","",VLOOKUP(B42,Ceny!$B$11:$L$118,11,FALSE))</f>
        <v/>
      </c>
      <c r="H42" s="269" t="str">
        <f t="shared" si="1"/>
        <v/>
      </c>
      <c r="I42" s="264" t="str">
        <f t="shared" si="2"/>
        <v/>
      </c>
      <c r="J42" s="270"/>
      <c r="K42" s="271" t="str">
        <f>IF(B42="","",VLOOKUP(B42,Ceny!$B$11:$J$118,8,FALSE))</f>
        <v/>
      </c>
      <c r="L42" s="271" t="str">
        <f>IF(B42="","",VLOOKUP(B42,Ceny!$B$11:$J$118,9,FALSE))</f>
        <v/>
      </c>
      <c r="M42" s="250"/>
      <c r="N42" s="260" t="str">
        <f>IF(ISERROR(VLOOKUP(B42,'zoznam-WLL'!$G$4:$H$93,2,FALSE)),"",VLOOKUP(B42,'zoznam-WLL'!$G$4:$H$93,2,FALSE))</f>
        <v/>
      </c>
      <c r="O42" s="250"/>
      <c r="P42" s="4"/>
      <c r="Q42" s="4"/>
      <c r="R42" s="4"/>
      <c r="S42" s="4"/>
      <c r="T42" s="4"/>
      <c r="U42" s="4"/>
      <c r="V42" s="4"/>
    </row>
    <row r="43" spans="1:22" ht="15" customHeight="1">
      <c r="A43" s="1"/>
      <c r="B43" s="251" t="str">
        <f>IF(ISERROR('zoznam-WLL'!D23),"",'zoznam-WLL'!D23)</f>
        <v/>
      </c>
      <c r="C43" s="267" t="str">
        <f>IF(B43="","",VLOOKUP(B43,Ceny!$B$11:$E$118,2,FALSE))</f>
        <v/>
      </c>
      <c r="D43" s="261" t="str">
        <f>IF(B43="","",VLOOKUP(B43,Ceny!$B$11:$E$118,3,FALSE))</f>
        <v/>
      </c>
      <c r="E43" s="272" t="str">
        <f>IF(B43="","",VLOOKUP(B43,Ceny!$B$11:$E$118,4,FALSE))</f>
        <v/>
      </c>
      <c r="F43" s="262" t="str">
        <f t="shared" si="0"/>
        <v/>
      </c>
      <c r="G43" s="268" t="str">
        <f>IF(B43="","",VLOOKUP(B43,Ceny!$B$11:$L$118,11,FALSE))</f>
        <v/>
      </c>
      <c r="H43" s="269" t="str">
        <f t="shared" si="1"/>
        <v/>
      </c>
      <c r="I43" s="264" t="str">
        <f t="shared" si="2"/>
        <v/>
      </c>
      <c r="J43" s="270"/>
      <c r="K43" s="271" t="str">
        <f>IF(B43="","",VLOOKUP(B43,Ceny!$B$11:$J$118,8,FALSE))</f>
        <v/>
      </c>
      <c r="L43" s="271" t="str">
        <f>IF(B43="","",VLOOKUP(B43,Ceny!$B$11:$J$118,9,FALSE))</f>
        <v/>
      </c>
      <c r="M43" s="250"/>
      <c r="N43" s="260" t="str">
        <f>IF(ISERROR(VLOOKUP(B43,'zoznam-WLL'!$G$4:$H$93,2,FALSE)),"",VLOOKUP(B43,'zoznam-WLL'!$G$4:$H$93,2,FALSE))</f>
        <v/>
      </c>
      <c r="O43" s="250"/>
      <c r="P43" s="4"/>
      <c r="Q43" s="4"/>
      <c r="R43" s="4"/>
      <c r="S43" s="4"/>
      <c r="T43" s="4"/>
      <c r="U43" s="4"/>
      <c r="V43" s="4"/>
    </row>
    <row r="44" spans="1:22" ht="15" customHeight="1">
      <c r="A44" s="1"/>
      <c r="B44" s="1"/>
      <c r="C44" s="273"/>
      <c r="D44" s="4"/>
      <c r="E44" s="274"/>
      <c r="F44" s="4"/>
      <c r="G44" s="4"/>
      <c r="H44" s="4"/>
      <c r="I44" s="4"/>
      <c r="J44" s="250"/>
      <c r="K44" s="4"/>
      <c r="L44" s="4"/>
      <c r="M44" s="250"/>
      <c r="N44" s="4"/>
      <c r="O44" s="250"/>
      <c r="P44" s="4"/>
      <c r="Q44" s="4"/>
      <c r="R44" s="4"/>
      <c r="S44" s="4"/>
      <c r="T44" s="4"/>
      <c r="U44" s="4"/>
      <c r="V44" s="4"/>
    </row>
    <row r="45" spans="1:22" ht="15" customHeight="1">
      <c r="A45" s="1"/>
      <c r="B45" s="1"/>
      <c r="C45" s="275"/>
      <c r="D45" s="275"/>
      <c r="E45" s="276"/>
      <c r="F45" s="277" t="str">
        <f>Verzie!$E$142</f>
        <v xml:space="preserve">Cena celkem bez DPH </v>
      </c>
      <c r="G45" s="364">
        <f>SUM(I24:I43)</f>
        <v>0</v>
      </c>
      <c r="H45" s="364"/>
      <c r="I45" s="364"/>
      <c r="J45" s="278" t="str">
        <f>$H$23</f>
        <v xml:space="preserve"> CZK</v>
      </c>
      <c r="K45" s="4"/>
      <c r="L45" s="4"/>
      <c r="M45" s="4"/>
      <c r="N45" s="4"/>
      <c r="O45" s="250"/>
      <c r="P45" s="4"/>
      <c r="Q45" s="4"/>
      <c r="R45" s="4"/>
      <c r="S45" s="4"/>
      <c r="T45" s="4"/>
      <c r="U45" s="4"/>
      <c r="V45" s="4"/>
    </row>
    <row r="46" spans="1:22" ht="15" customHeight="1">
      <c r="A46" s="1"/>
      <c r="B46" s="1"/>
      <c r="C46" s="273"/>
      <c r="D46" s="4"/>
      <c r="E46" s="274"/>
      <c r="F46" s="4"/>
      <c r="G46" s="4"/>
      <c r="H46" s="4"/>
      <c r="I46" s="4"/>
      <c r="J46" s="250"/>
      <c r="K46" s="4"/>
      <c r="L46" s="4"/>
      <c r="M46" s="4"/>
      <c r="N46" s="4"/>
      <c r="O46" s="250"/>
      <c r="P46" s="4"/>
      <c r="Q46" s="4"/>
      <c r="R46" s="4"/>
      <c r="S46" s="4"/>
      <c r="T46" s="4"/>
      <c r="U46" s="4"/>
      <c r="V46" s="4"/>
    </row>
    <row r="47" spans="1:22" ht="15" customHeight="1">
      <c r="A47" s="1"/>
      <c r="B47" s="1"/>
      <c r="C47" s="279" t="s">
        <v>27</v>
      </c>
      <c r="D47" s="4"/>
      <c r="E47" s="274"/>
      <c r="F47" s="4"/>
      <c r="G47" s="4"/>
      <c r="H47" s="4"/>
      <c r="I47" s="4"/>
      <c r="J47" s="250"/>
      <c r="K47" s="4"/>
      <c r="L47" s="4"/>
      <c r="M47" s="4"/>
      <c r="N47" s="4"/>
      <c r="O47" s="250"/>
      <c r="P47" s="4"/>
      <c r="Q47" s="4"/>
      <c r="R47" s="4"/>
      <c r="S47" s="4"/>
      <c r="T47" s="4"/>
      <c r="U47" s="4"/>
      <c r="V47" s="4"/>
    </row>
    <row r="48" spans="1:22" ht="15" customHeight="1">
      <c r="A48" s="1"/>
      <c r="B48" s="1"/>
      <c r="C48" s="279"/>
      <c r="D48" s="4"/>
      <c r="E48" s="274"/>
      <c r="F48" s="4"/>
      <c r="G48" s="4"/>
      <c r="H48" s="4"/>
      <c r="I48" s="4"/>
      <c r="J48" s="250"/>
      <c r="K48" s="4"/>
      <c r="L48" s="4"/>
      <c r="M48" s="4"/>
      <c r="N48" s="4"/>
      <c r="O48" s="250"/>
      <c r="P48" s="4"/>
      <c r="Q48" s="4"/>
      <c r="R48" s="4"/>
      <c r="S48" s="4"/>
      <c r="T48" s="4"/>
      <c r="U48" s="4"/>
      <c r="V48" s="4"/>
    </row>
    <row r="49" spans="1:22" ht="15" customHeight="1">
      <c r="A49" s="1"/>
      <c r="B49" s="1"/>
      <c r="C49" s="280" t="str">
        <f>Verzie!$E$143</f>
        <v>Poznámka:</v>
      </c>
      <c r="D49" s="4"/>
      <c r="E49" s="274"/>
      <c r="F49" s="4"/>
      <c r="G49" s="4"/>
      <c r="H49" s="4"/>
      <c r="I49" s="4"/>
      <c r="J49" s="250"/>
      <c r="K49" s="4"/>
      <c r="L49" s="4"/>
      <c r="M49" s="4"/>
      <c r="N49" s="4"/>
      <c r="O49" s="250"/>
      <c r="P49" s="4"/>
      <c r="Q49" s="4"/>
      <c r="R49" s="4"/>
      <c r="S49" s="4"/>
      <c r="T49" s="4"/>
      <c r="U49" s="4"/>
      <c r="V49" s="4"/>
    </row>
    <row r="50" spans="1:22" ht="15" customHeight="1">
      <c r="A50" s="4"/>
      <c r="B50" s="4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281"/>
      <c r="N50" s="4"/>
      <c r="O50" s="250"/>
      <c r="P50" s="4"/>
      <c r="Q50" s="4"/>
      <c r="R50" s="4"/>
      <c r="S50" s="4"/>
      <c r="T50" s="4"/>
      <c r="U50" s="4"/>
      <c r="V50" s="4"/>
    </row>
    <row r="51" spans="1:22" ht="15" customHeight="1">
      <c r="A51" s="4"/>
      <c r="B51" s="4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281"/>
      <c r="N51" s="4"/>
      <c r="O51" s="250"/>
      <c r="P51" s="4"/>
      <c r="Q51" s="4"/>
      <c r="R51" s="4"/>
      <c r="S51" s="4"/>
      <c r="T51" s="4"/>
      <c r="U51" s="4"/>
      <c r="V51" s="4"/>
    </row>
    <row r="52" spans="1:22" ht="15" customHeight="1">
      <c r="A52" s="4"/>
      <c r="B52" s="4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281"/>
      <c r="N52" s="4"/>
      <c r="O52" s="250"/>
      <c r="P52" s="4"/>
      <c r="Q52" s="4"/>
      <c r="R52" s="4"/>
      <c r="S52" s="4"/>
      <c r="T52" s="4"/>
      <c r="U52" s="4"/>
      <c r="V52" s="4"/>
    </row>
    <row r="53" spans="1:22" ht="15" customHeight="1">
      <c r="A53" s="4"/>
      <c r="B53" s="4"/>
      <c r="C53" s="4"/>
      <c r="D53" s="4"/>
      <c r="E53" s="274"/>
      <c r="F53" s="4"/>
      <c r="G53" s="4"/>
      <c r="H53" s="4"/>
      <c r="I53" s="4"/>
      <c r="J53" s="250"/>
      <c r="K53" s="4"/>
      <c r="L53" s="4"/>
      <c r="M53" s="4"/>
      <c r="N53" s="4"/>
      <c r="O53" s="250"/>
      <c r="P53" s="4"/>
      <c r="Q53" s="4"/>
      <c r="R53" s="4"/>
      <c r="S53" s="4"/>
      <c r="T53" s="4"/>
      <c r="U53" s="4"/>
      <c r="V53" s="4"/>
    </row>
    <row r="54" spans="1:22" ht="15" customHeight="1">
      <c r="A54" s="4"/>
      <c r="B54" s="282">
        <f ca="1">NOW()</f>
        <v>46007.386081597222</v>
      </c>
      <c r="C54" s="283"/>
      <c r="D54" s="4"/>
      <c r="E54" s="274"/>
      <c r="F54" s="4"/>
      <c r="G54" s="4"/>
      <c r="H54" s="4"/>
      <c r="I54" s="4"/>
      <c r="J54" s="250"/>
      <c r="K54" s="4"/>
      <c r="L54" s="4"/>
      <c r="M54" s="4"/>
      <c r="N54" s="4"/>
      <c r="O54" s="250"/>
      <c r="P54" s="4"/>
      <c r="Q54" s="4"/>
      <c r="R54" s="4"/>
      <c r="S54" s="4"/>
      <c r="T54" s="4"/>
      <c r="U54" s="4"/>
      <c r="V54" s="4"/>
    </row>
    <row r="55" spans="1:22" ht="15" customHeight="1">
      <c r="A55" s="4"/>
      <c r="B55" s="282"/>
      <c r="C55" s="4"/>
      <c r="D55" s="4"/>
      <c r="E55" s="274"/>
      <c r="F55" s="4"/>
      <c r="G55" s="4"/>
      <c r="H55" s="4"/>
      <c r="I55" s="4"/>
      <c r="J55" s="250"/>
      <c r="K55" s="4"/>
      <c r="L55" s="4"/>
      <c r="M55" s="4"/>
      <c r="N55" s="4"/>
      <c r="O55" s="250"/>
      <c r="P55" s="4"/>
      <c r="Q55" s="4"/>
      <c r="R55" s="4"/>
      <c r="S55" s="4"/>
      <c r="T55" s="4"/>
      <c r="U55" s="4"/>
      <c r="V55" s="4"/>
    </row>
    <row r="56" spans="1:22" ht="15" customHeight="1">
      <c r="A56" s="4"/>
      <c r="B56" s="4"/>
      <c r="C56" s="4" t="str">
        <f>Verzie!$E$144</f>
        <v>Ve sloupci "Změna" můžete upravit počty kusů.</v>
      </c>
      <c r="D56" s="4"/>
      <c r="E56" s="274"/>
      <c r="F56" s="4"/>
      <c r="G56" s="4"/>
      <c r="H56" s="4"/>
      <c r="I56" s="4"/>
      <c r="J56" s="250"/>
      <c r="K56" s="4"/>
      <c r="L56" s="4"/>
      <c r="M56" s="4"/>
      <c r="N56" s="4"/>
      <c r="O56" s="250"/>
      <c r="P56" s="4"/>
      <c r="Q56" s="4"/>
      <c r="R56" s="4"/>
      <c r="S56" s="4"/>
      <c r="T56" s="4"/>
      <c r="U56" s="4"/>
      <c r="V56" s="4"/>
    </row>
    <row r="57" spans="1:22" ht="15" customHeight="1">
      <c r="A57" s="4"/>
      <c r="B57" s="4"/>
      <c r="C57" s="4" t="str">
        <f>Verzie!$E$146</f>
        <v>Pokud chcete objednávku uložit nebo odeslat jako přílohu, vytvořte nový soubor kliknutím na 'Vytvořit objednávku'.</v>
      </c>
      <c r="D57" s="4"/>
      <c r="E57" s="274"/>
      <c r="F57" s="4"/>
      <c r="G57" s="4"/>
      <c r="H57" s="4"/>
      <c r="I57" s="4"/>
      <c r="J57" s="250"/>
      <c r="K57" s="4"/>
      <c r="L57" s="4"/>
      <c r="M57" s="4"/>
      <c r="N57" s="4"/>
      <c r="O57" s="250"/>
      <c r="P57" s="4"/>
      <c r="Q57" s="4"/>
      <c r="R57" s="4"/>
      <c r="S57" s="4"/>
      <c r="T57" s="4"/>
      <c r="U57" s="4"/>
      <c r="V57" s="4"/>
    </row>
    <row r="58" spans="1:22" ht="15" customHeight="1">
      <c r="A58" s="4"/>
      <c r="B58" s="4"/>
      <c r="C58" s="4"/>
      <c r="D58" s="4"/>
      <c r="E58" s="274"/>
      <c r="F58" s="4"/>
      <c r="G58" s="4"/>
      <c r="H58" s="4"/>
      <c r="I58" s="4"/>
      <c r="J58" s="250"/>
      <c r="K58" s="4"/>
      <c r="L58" s="4"/>
      <c r="M58" s="4"/>
      <c r="N58" s="4"/>
      <c r="O58" s="250"/>
      <c r="P58" s="4"/>
      <c r="Q58" s="4"/>
      <c r="R58" s="4"/>
      <c r="S58" s="4"/>
      <c r="T58" s="4"/>
      <c r="U58" s="4"/>
      <c r="V58" s="4"/>
    </row>
    <row r="59" spans="1:22" ht="15" customHeight="1">
      <c r="A59" s="4"/>
      <c r="B59" s="4"/>
      <c r="C59" s="4"/>
      <c r="D59" s="4"/>
      <c r="E59" s="274"/>
      <c r="F59" s="4"/>
      <c r="G59" s="4"/>
      <c r="H59" s="4"/>
      <c r="I59" s="4"/>
      <c r="J59" s="250"/>
      <c r="K59" s="4"/>
      <c r="L59" s="4"/>
      <c r="M59" s="4"/>
      <c r="N59" s="4"/>
      <c r="O59" s="250"/>
      <c r="P59" s="4"/>
      <c r="Q59" s="4"/>
      <c r="R59" s="4"/>
      <c r="S59" s="4"/>
      <c r="T59" s="4"/>
      <c r="U59" s="4"/>
      <c r="V59" s="4"/>
    </row>
    <row r="60" spans="1:22" ht="15" customHeight="1">
      <c r="A60" s="4"/>
      <c r="B60" s="282"/>
      <c r="C60" s="4"/>
      <c r="D60" s="4"/>
      <c r="E60" s="274"/>
      <c r="F60" s="4"/>
      <c r="G60" s="4"/>
      <c r="H60" s="4"/>
      <c r="I60" s="4"/>
      <c r="J60" s="250"/>
      <c r="K60" s="4"/>
      <c r="L60" s="4"/>
      <c r="M60" s="4"/>
      <c r="N60" s="4"/>
      <c r="O60" s="250"/>
      <c r="P60" s="4"/>
      <c r="Q60" s="4"/>
      <c r="R60" s="4"/>
      <c r="S60" s="4"/>
      <c r="T60" s="4"/>
      <c r="U60" s="4"/>
      <c r="V60" s="4"/>
    </row>
    <row r="61" spans="1:22" ht="15" customHeight="1">
      <c r="A61" s="4"/>
      <c r="B61" s="4"/>
      <c r="C61" s="4"/>
      <c r="D61" s="4"/>
      <c r="E61" s="274"/>
      <c r="F61" s="4"/>
      <c r="G61" s="4"/>
      <c r="H61" s="4"/>
      <c r="I61" s="4"/>
      <c r="J61" s="250"/>
      <c r="K61" s="4"/>
      <c r="L61" s="4"/>
      <c r="M61" s="4"/>
      <c r="N61" s="4"/>
      <c r="O61" s="250"/>
      <c r="P61" s="4"/>
      <c r="Q61" s="4"/>
      <c r="R61" s="4"/>
      <c r="S61" s="4"/>
      <c r="T61" s="4"/>
      <c r="U61" s="4"/>
      <c r="V61" s="4"/>
    </row>
    <row r="62" spans="1:22" ht="15" customHeight="1">
      <c r="A62" s="4"/>
      <c r="B62" s="4"/>
      <c r="C62" s="4"/>
      <c r="D62" s="4"/>
      <c r="E62" s="274"/>
      <c r="F62" s="4"/>
      <c r="G62" s="4"/>
      <c r="H62" s="4"/>
      <c r="I62" s="4"/>
      <c r="J62" s="250"/>
      <c r="K62" s="4"/>
      <c r="L62" s="4"/>
      <c r="M62" s="4"/>
      <c r="N62" s="4"/>
      <c r="O62" s="250"/>
      <c r="P62" s="4"/>
      <c r="Q62" s="4"/>
      <c r="R62" s="4"/>
      <c r="S62" s="4"/>
      <c r="T62" s="4"/>
      <c r="U62" s="4"/>
      <c r="V62" s="4"/>
    </row>
    <row r="63" spans="1:22" ht="15" customHeight="1">
      <c r="A63" s="4"/>
      <c r="B63" s="4"/>
      <c r="C63" s="4"/>
      <c r="D63" s="4"/>
      <c r="E63" s="274"/>
      <c r="F63" s="4"/>
      <c r="G63" s="4"/>
      <c r="H63" s="4"/>
      <c r="I63" s="4"/>
      <c r="J63" s="250"/>
      <c r="K63" s="4"/>
      <c r="L63" s="4"/>
      <c r="M63" s="4"/>
      <c r="N63" s="4"/>
      <c r="O63" s="250"/>
      <c r="P63" s="4"/>
      <c r="Q63" s="4"/>
      <c r="R63" s="4"/>
      <c r="S63" s="4"/>
      <c r="T63" s="4"/>
      <c r="U63" s="4"/>
      <c r="V63" s="4"/>
    </row>
    <row r="64" spans="1:22" ht="15" customHeight="1">
      <c r="A64" s="4"/>
      <c r="B64" s="4"/>
      <c r="C64" s="4"/>
      <c r="D64" s="4"/>
      <c r="E64" s="274"/>
      <c r="F64" s="4"/>
      <c r="G64" s="4"/>
      <c r="H64" s="4"/>
      <c r="I64" s="4"/>
      <c r="J64" s="250"/>
      <c r="K64" s="4"/>
      <c r="L64" s="4"/>
      <c r="M64" s="4"/>
      <c r="N64" s="4"/>
      <c r="O64" s="250"/>
      <c r="P64" s="4"/>
      <c r="Q64" s="4"/>
      <c r="R64" s="4"/>
      <c r="S64" s="4"/>
      <c r="T64" s="4"/>
      <c r="U64" s="4"/>
      <c r="V64" s="4"/>
    </row>
    <row r="65" spans="1:22" ht="15" customHeight="1">
      <c r="A65" s="4"/>
      <c r="B65" s="4"/>
      <c r="C65" s="4"/>
      <c r="D65" s="4"/>
      <c r="E65" s="274"/>
      <c r="F65" s="4"/>
      <c r="G65" s="4"/>
      <c r="H65" s="4"/>
      <c r="I65" s="4"/>
      <c r="J65" s="250"/>
      <c r="K65" s="4"/>
      <c r="L65" s="4"/>
      <c r="M65" s="4"/>
      <c r="N65" s="4"/>
      <c r="O65" s="250"/>
      <c r="P65" s="4"/>
      <c r="Q65" s="4"/>
      <c r="R65" s="4"/>
      <c r="S65" s="4"/>
      <c r="T65" s="4"/>
      <c r="U65" s="4"/>
      <c r="V65" s="4"/>
    </row>
    <row r="66" spans="1:22" ht="15" customHeight="1">
      <c r="A66" s="4"/>
      <c r="B66" s="4"/>
      <c r="C66" s="4"/>
      <c r="D66" s="4"/>
      <c r="E66" s="274"/>
      <c r="F66" s="4"/>
      <c r="G66" s="4"/>
      <c r="H66" s="4"/>
      <c r="I66" s="4"/>
      <c r="J66" s="250"/>
      <c r="K66" s="4"/>
      <c r="L66" s="4"/>
      <c r="M66" s="4"/>
      <c r="N66" s="4"/>
      <c r="O66" s="250"/>
      <c r="P66" s="4"/>
      <c r="Q66" s="4"/>
      <c r="R66" s="4"/>
      <c r="S66" s="4"/>
      <c r="T66" s="4"/>
      <c r="U66" s="4"/>
      <c r="V66" s="4"/>
    </row>
    <row r="67" spans="1:22" ht="15" customHeight="1">
      <c r="A67" s="4"/>
      <c r="B67" s="4"/>
      <c r="C67" s="4"/>
      <c r="D67" s="4"/>
      <c r="E67" s="274"/>
      <c r="F67" s="4"/>
      <c r="G67" s="4"/>
      <c r="H67" s="4"/>
      <c r="I67" s="4"/>
      <c r="J67" s="250"/>
      <c r="K67" s="4"/>
      <c r="L67" s="4"/>
      <c r="M67" s="4"/>
      <c r="N67" s="4"/>
      <c r="O67" s="250"/>
      <c r="P67" s="4"/>
      <c r="Q67" s="4"/>
      <c r="R67" s="4"/>
      <c r="S67" s="4"/>
      <c r="T67" s="4"/>
      <c r="U67" s="4"/>
      <c r="V67" s="4"/>
    </row>
    <row r="68" spans="1:22" ht="15" customHeight="1">
      <c r="A68" s="4"/>
      <c r="B68" s="4"/>
      <c r="C68" s="4"/>
      <c r="D68" s="4"/>
      <c r="E68" s="274"/>
      <c r="F68" s="4"/>
      <c r="G68" s="4"/>
      <c r="H68" s="4"/>
      <c r="I68" s="4"/>
      <c r="J68" s="250"/>
      <c r="K68" s="4"/>
      <c r="L68" s="4"/>
      <c r="M68" s="4"/>
      <c r="N68" s="4"/>
      <c r="O68" s="250"/>
      <c r="P68" s="4"/>
      <c r="Q68" s="4"/>
      <c r="R68" s="4"/>
      <c r="S68" s="4"/>
      <c r="T68" s="4"/>
      <c r="U68" s="4"/>
      <c r="V68" s="4"/>
    </row>
    <row r="69" spans="1:22" ht="15" customHeight="1">
      <c r="A69" s="4"/>
      <c r="B69" s="4"/>
      <c r="C69" s="4"/>
      <c r="D69" s="4"/>
      <c r="E69" s="274"/>
      <c r="F69" s="4"/>
      <c r="G69" s="4"/>
      <c r="H69" s="4"/>
      <c r="I69" s="4"/>
      <c r="J69" s="250"/>
      <c r="K69" s="4"/>
      <c r="L69" s="4"/>
      <c r="M69" s="4"/>
      <c r="N69" s="4"/>
      <c r="O69" s="250"/>
      <c r="P69" s="4"/>
      <c r="Q69" s="4"/>
      <c r="R69" s="4"/>
      <c r="S69" s="4"/>
      <c r="T69" s="4"/>
      <c r="U69" s="4"/>
      <c r="V69" s="4"/>
    </row>
    <row r="70" spans="1:22" ht="15" customHeight="1">
      <c r="A70" s="4"/>
      <c r="B70" s="4"/>
      <c r="C70" s="4"/>
      <c r="D70" s="4"/>
      <c r="E70" s="274"/>
      <c r="F70" s="4"/>
      <c r="G70" s="4"/>
      <c r="H70" s="4"/>
      <c r="I70" s="4"/>
      <c r="J70" s="250"/>
      <c r="K70" s="4"/>
      <c r="L70" s="4"/>
      <c r="M70" s="4"/>
      <c r="N70" s="4"/>
      <c r="O70" s="250"/>
      <c r="P70" s="4"/>
      <c r="Q70" s="4"/>
      <c r="R70" s="4"/>
      <c r="S70" s="4"/>
      <c r="T70" s="4"/>
      <c r="U70" s="4"/>
      <c r="V70" s="4"/>
    </row>
    <row r="71" spans="1:22" ht="15" customHeight="1">
      <c r="A71" s="4"/>
      <c r="B71" s="4"/>
      <c r="C71" s="4"/>
      <c r="D71" s="4"/>
      <c r="E71" s="274"/>
      <c r="F71" s="4"/>
      <c r="G71" s="4"/>
      <c r="H71" s="4"/>
      <c r="I71" s="4"/>
      <c r="J71" s="250"/>
      <c r="K71" s="4"/>
      <c r="L71" s="4"/>
      <c r="M71" s="4"/>
      <c r="N71" s="4"/>
      <c r="O71" s="250"/>
      <c r="P71" s="4"/>
      <c r="Q71" s="4"/>
      <c r="R71" s="4"/>
      <c r="S71" s="4"/>
      <c r="T71" s="4"/>
      <c r="U71" s="4"/>
      <c r="V71" s="4"/>
    </row>
    <row r="72" spans="1:22" ht="15" customHeight="1">
      <c r="A72" s="4"/>
      <c r="B72" s="4"/>
      <c r="C72" s="4"/>
      <c r="D72" s="4"/>
      <c r="E72" s="274"/>
      <c r="F72" s="4"/>
      <c r="G72" s="4"/>
      <c r="H72" s="4"/>
      <c r="I72" s="4"/>
      <c r="J72" s="250"/>
      <c r="K72" s="4"/>
      <c r="L72" s="4"/>
      <c r="M72" s="4"/>
      <c r="N72" s="4"/>
      <c r="O72" s="250"/>
      <c r="P72" s="4"/>
      <c r="Q72" s="4"/>
      <c r="R72" s="4"/>
      <c r="S72" s="4"/>
      <c r="T72" s="4"/>
      <c r="U72" s="4"/>
      <c r="V72" s="4"/>
    </row>
    <row r="73" spans="1:22" ht="15" customHeight="1">
      <c r="A73" s="4"/>
      <c r="B73" s="4"/>
      <c r="C73" s="4"/>
      <c r="D73" s="4"/>
      <c r="E73" s="274"/>
      <c r="F73" s="4"/>
      <c r="G73" s="4"/>
      <c r="H73" s="4"/>
      <c r="I73" s="4"/>
      <c r="J73" s="250"/>
      <c r="K73" s="4"/>
      <c r="L73" s="4"/>
      <c r="M73" s="4"/>
      <c r="N73" s="4"/>
      <c r="O73" s="250"/>
      <c r="P73" s="4"/>
      <c r="Q73" s="4"/>
      <c r="R73" s="4"/>
      <c r="S73" s="4"/>
      <c r="T73" s="4"/>
      <c r="U73" s="4"/>
      <c r="V73" s="4"/>
    </row>
    <row r="74" spans="1:22" ht="15" customHeight="1">
      <c r="A74" s="4"/>
      <c r="B74" s="4"/>
      <c r="C74" s="4"/>
      <c r="D74" s="4"/>
      <c r="E74" s="274"/>
      <c r="F74" s="4"/>
      <c r="G74" s="4"/>
      <c r="H74" s="4"/>
      <c r="I74" s="4"/>
      <c r="J74" s="250"/>
      <c r="K74" s="4"/>
      <c r="L74" s="4"/>
      <c r="M74" s="4"/>
      <c r="N74" s="4"/>
      <c r="O74" s="250"/>
      <c r="P74" s="4"/>
      <c r="Q74" s="4"/>
      <c r="R74" s="4"/>
      <c r="S74" s="4"/>
      <c r="T74" s="4"/>
      <c r="U74" s="4"/>
      <c r="V74" s="4"/>
    </row>
  </sheetData>
  <sheetProtection algorithmName="SHA-512" hashValue="xfMX5Z5HHnQLvT8fuWpiBlgJpiG7l2iKeLTGCtQeS5gj0ANKeb03X0i33BDZ/3CiVLg+0tzVw4KKMH0zmy2ycA==" saltValue="JP5EIAPPGIQSKR2VeA/V7Q==" spinCount="100000" sheet="1" autoFilter="0"/>
  <mergeCells count="8">
    <mergeCell ref="C52:L52"/>
    <mergeCell ref="F17:K17"/>
    <mergeCell ref="F19:K19"/>
    <mergeCell ref="K2:L2"/>
    <mergeCell ref="D2:F2"/>
    <mergeCell ref="G45:I45"/>
    <mergeCell ref="C50:L50"/>
    <mergeCell ref="C51:L51"/>
  </mergeCells>
  <hyperlinks>
    <hyperlink ref="D2:F2" location="'FORM-I'!A1" display="'FORM-I'!A1" xr:uid="{0640AB4B-35DF-42D5-804A-9587FF8C8F01}"/>
    <hyperlink ref="B2" location="'DATA-WL5'!A5" display="'DATA-WL5'!A5" xr:uid="{DCD07166-E403-4607-99C9-61348F00AD2A}"/>
  </hyperlinks>
  <printOptions horizontalCentered="1"/>
  <pageMargins left="0.19685039370078741" right="0.19685039370078741" top="0.39370078740157483" bottom="0.19685039370078741" header="0.31496062992125984" footer="0.31496062992125984"/>
  <pageSetup paperSize="9" scale="91" orientation="portrait" r:id="rId1"/>
  <ignoredErrors>
    <ignoredError sqref="D24:D4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5089" r:id="rId4" name="Button 1">
              <controlPr defaultSize="0" print="0" autoFill="0" autoPict="0" macro="[0]!Export_objednavky">
                <anchor moveWithCells="1" sizeWithCells="1">
                  <from>
                    <xdr:col>8</xdr:col>
                    <xdr:colOff>601980</xdr:colOff>
                    <xdr:row>59</xdr:row>
                    <xdr:rowOff>0</xdr:rowOff>
                  </from>
                  <to>
                    <xdr:col>12</xdr:col>
                    <xdr:colOff>7620</xdr:colOff>
                    <xdr:row>60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Hettich ČR k.s.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Kopenec</dc:creator>
  <cp:keywords/>
  <dc:description/>
  <cp:lastModifiedBy>Jiří Kopenec</cp:lastModifiedBy>
  <cp:revision/>
  <dcterms:created xsi:type="dcterms:W3CDTF">2016-01-02T18:34:54Z</dcterms:created>
  <dcterms:modified xsi:type="dcterms:W3CDTF">2025-12-16T08:17:36Z</dcterms:modified>
  <cp:category/>
  <cp:contentStatus/>
</cp:coreProperties>
</file>